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activeTab="0"/>
  </bookViews>
  <sheets>
    <sheet name="总表" sheetId="1" r:id="rId1"/>
    <sheet name="宣布结果" sheetId="2" r:id="rId2"/>
    <sheet name="Sheet3" sheetId="3" r:id="rId3"/>
  </sheets>
  <definedNames>
    <definedName name="_Hlk86226009" localSheetId="1">'宣布结果'!$A$87</definedName>
    <definedName name="_Hlk86391484" localSheetId="1">'宣布结果'!$A$114</definedName>
    <definedName name="_Hlk86391556" localSheetId="1">'宣布结果'!$A$102</definedName>
    <definedName name="_xlfn.IFERROR" hidden="1">#NAME?</definedName>
    <definedName name="_xlnm.Print_Area" localSheetId="1">'宣布结果'!$A$1:$C$98</definedName>
    <definedName name="_xlnm.Print_Area" localSheetId="0">'总表'!$A$1:$R$76</definedName>
  </definedNames>
  <calcPr fullCalcOnLoad="1"/>
</workbook>
</file>

<file path=xl/sharedStrings.xml><?xml version="1.0" encoding="utf-8"?>
<sst xmlns="http://schemas.openxmlformats.org/spreadsheetml/2006/main" count="250" uniqueCount="131">
  <si>
    <t>单位</t>
  </si>
  <si>
    <t>地科</t>
  </si>
  <si>
    <t>地控</t>
  </si>
  <si>
    <t>水环</t>
  </si>
  <si>
    <t>测绘</t>
  </si>
  <si>
    <t>核工</t>
  </si>
  <si>
    <t>机电</t>
  </si>
  <si>
    <t>信工</t>
  </si>
  <si>
    <t>理学院</t>
  </si>
  <si>
    <t>经管</t>
  </si>
  <si>
    <t>外国语</t>
  </si>
  <si>
    <t>国教</t>
  </si>
  <si>
    <t>得分</t>
  </si>
  <si>
    <t>项目</t>
  </si>
  <si>
    <t>100m</t>
  </si>
  <si>
    <t>200m</t>
  </si>
  <si>
    <t>400m</t>
  </si>
  <si>
    <t>800m</t>
  </si>
  <si>
    <t>1500m</t>
  </si>
  <si>
    <t>5000m</t>
  </si>
  <si>
    <t>10000m</t>
  </si>
  <si>
    <t>4×100m</t>
  </si>
  <si>
    <t>4×400m</t>
  </si>
  <si>
    <t>跳  高</t>
  </si>
  <si>
    <t>跳  远</t>
  </si>
  <si>
    <t>三级跳远</t>
  </si>
  <si>
    <t>铅  球</t>
  </si>
  <si>
    <t>体能五项</t>
  </si>
  <si>
    <t>运动会男团总积分</t>
  </si>
  <si>
    <t>运动会男团排名</t>
  </si>
  <si>
    <t>运动会女团总积分</t>
  </si>
  <si>
    <t>运动会女团排名</t>
  </si>
  <si>
    <t>田径总团体积分</t>
  </si>
  <si>
    <t>田径总团体排名</t>
  </si>
  <si>
    <t>田径总团体计入年度计分</t>
  </si>
  <si>
    <t>群体项目</t>
  </si>
  <si>
    <t>男子火车跑</t>
  </si>
  <si>
    <t>女子跳绳接力</t>
  </si>
  <si>
    <t>袋鼠跳接力（混合）</t>
  </si>
  <si>
    <t>持球接力（混合）</t>
  </si>
  <si>
    <t>集体跳绳（混合）</t>
  </si>
  <si>
    <t>8字跳绳（混合）</t>
  </si>
  <si>
    <t>群体项目积分</t>
  </si>
  <si>
    <t>群体项目排名</t>
  </si>
  <si>
    <t>群体项目计入年度计分</t>
  </si>
  <si>
    <t>各项竞赛</t>
  </si>
  <si>
    <t>足球</t>
  </si>
  <si>
    <t>羽毛球</t>
  </si>
  <si>
    <t>运动会总团体</t>
  </si>
  <si>
    <t>年度总积分</t>
  </si>
  <si>
    <t>年度总冠军排名</t>
  </si>
  <si>
    <t>男子五人板鞋</t>
  </si>
  <si>
    <t>女子五人板鞋</t>
  </si>
  <si>
    <t>长龙跑（混合）</t>
  </si>
  <si>
    <t>龙卷风（混合）</t>
  </si>
  <si>
    <t>一圈到底（混合）</t>
  </si>
  <si>
    <t>土建</t>
  </si>
  <si>
    <t>男子项目</t>
  </si>
  <si>
    <t>女子项目</t>
  </si>
  <si>
    <t>混合</t>
  </si>
  <si>
    <t>闭幕式总裁判长宣布名次及成绩</t>
  </si>
  <si>
    <t>（前八名积分详见体育馆墙展及体育学院网站）：</t>
  </si>
  <si>
    <t>1.乒乓球赛</t>
  </si>
  <si>
    <t>成绩公布完毕！</t>
  </si>
  <si>
    <r>
      <t>10×</t>
    </r>
    <r>
      <rPr>
        <sz val="16"/>
        <color indexed="20"/>
        <rFont val="华文中宋"/>
        <family val="0"/>
      </rPr>
      <t>2</t>
    </r>
    <r>
      <rPr>
        <sz val="16"/>
        <color indexed="20"/>
        <rFont val="华文中宋"/>
        <family val="0"/>
      </rPr>
      <t>00m</t>
    </r>
  </si>
  <si>
    <t>马院</t>
  </si>
  <si>
    <t xml:space="preserve">1、田径男子团体和女子团体积分别为所有男子田径项目及所有女子田径项目得分总和。                                                                                                                                   2、田径总团体积分为男团得分加上女团得分总和。                                                                                                                                             3、群体项目积分为所有群体项目得分总和。                                                                                                                                                                                                                                                                   4、球类长跑拔河等项目按名次顺序以9.7.6.5.4.3.2.1的分数计入年度积分，太极拳和群体项目加2倍积分，运动会总团体加3倍积分。                                                                       </t>
  </si>
  <si>
    <t>拔河</t>
  </si>
  <si>
    <t>10×200m</t>
  </si>
  <si>
    <t>乒乓球</t>
  </si>
  <si>
    <t>篮球</t>
  </si>
  <si>
    <t>地科学院</t>
  </si>
  <si>
    <t>地控学院</t>
  </si>
  <si>
    <t>水环学院</t>
  </si>
  <si>
    <t>测绘学院</t>
  </si>
  <si>
    <t>核工学院</t>
  </si>
  <si>
    <t>机电学院</t>
  </si>
  <si>
    <t>信工学院</t>
  </si>
  <si>
    <t>土建学院</t>
  </si>
  <si>
    <t>经管学院</t>
  </si>
  <si>
    <t>外国语学院</t>
  </si>
  <si>
    <t>马克思主义学院</t>
  </si>
  <si>
    <t>国教学院</t>
  </si>
  <si>
    <t>:</t>
  </si>
  <si>
    <t>2.羽毛球赛:</t>
  </si>
  <si>
    <t>1.田径女子团体前三名:</t>
  </si>
  <si>
    <t>2.田径男子团体前三名:</t>
  </si>
  <si>
    <t xml:space="preserve">                      第三名:</t>
  </si>
  <si>
    <t xml:space="preserve">                      第二名:</t>
  </si>
  <si>
    <t xml:space="preserve">                      第一名:</t>
  </si>
  <si>
    <t xml:space="preserve">                      第八名:</t>
  </si>
  <si>
    <t xml:space="preserve">                      第七名:</t>
  </si>
  <si>
    <t xml:space="preserve">                      第六名:</t>
  </si>
  <si>
    <t xml:space="preserve">                      第五名:</t>
  </si>
  <si>
    <t xml:space="preserve">                      第四名:</t>
  </si>
  <si>
    <t xml:space="preserve">                      第十三名:</t>
  </si>
  <si>
    <t xml:space="preserve">                      第十二名:</t>
  </si>
  <si>
    <t xml:space="preserve">                      第十一名:</t>
  </si>
  <si>
    <t xml:space="preserve">                      第十名:</t>
  </si>
  <si>
    <t xml:space="preserve">                      第九名:</t>
  </si>
  <si>
    <r>
      <t>1</t>
    </r>
    <r>
      <rPr>
        <sz val="16"/>
        <color indexed="10"/>
        <rFont val="华文中宋"/>
        <family val="0"/>
      </rPr>
      <t>0</t>
    </r>
    <r>
      <rPr>
        <sz val="16"/>
        <color indexed="10"/>
        <rFont val="华文中宋"/>
        <family val="0"/>
      </rPr>
      <t>000m</t>
    </r>
  </si>
  <si>
    <t>3.群体项目团体前三名:</t>
  </si>
  <si>
    <t>4.田径总团体前八名:</t>
  </si>
  <si>
    <t xml:space="preserve">                      第二部分、本届运动会各类别比赛名次:</t>
  </si>
  <si>
    <r>
      <t xml:space="preserve">第三部分、体育竞赛年度积分排名    </t>
    </r>
    <r>
      <rPr>
        <sz val="18"/>
        <rFont val="宋体"/>
        <family val="0"/>
      </rPr>
      <t xml:space="preserve"> </t>
    </r>
    <r>
      <rPr>
        <sz val="18"/>
        <rFont val="宋体"/>
        <family val="0"/>
      </rPr>
      <t xml:space="preserve">         （本年度所有校内体育竞赛总积分排名）:</t>
    </r>
  </si>
  <si>
    <t>化材</t>
  </si>
  <si>
    <t>化材学院</t>
  </si>
  <si>
    <t>2023年东华理工大学第四十八届运动会成绩计分汇总表</t>
  </si>
  <si>
    <t>美院</t>
  </si>
  <si>
    <t>美术与艺术学院</t>
  </si>
  <si>
    <r>
      <t>排球（2</t>
    </r>
    <r>
      <rPr>
        <sz val="16"/>
        <color indexed="60"/>
        <rFont val="华文中宋"/>
        <family val="0"/>
      </rPr>
      <t>023</t>
    </r>
    <r>
      <rPr>
        <sz val="16"/>
        <color indexed="60"/>
        <rFont val="华文中宋"/>
        <family val="0"/>
      </rPr>
      <t>）</t>
    </r>
  </si>
  <si>
    <t>排球（2022）</t>
  </si>
  <si>
    <t>文法艺学院</t>
  </si>
  <si>
    <r>
      <t>第一部分、202</t>
    </r>
    <r>
      <rPr>
        <sz val="18"/>
        <rFont val="宋体"/>
        <family val="0"/>
      </rPr>
      <t>3</t>
    </r>
    <r>
      <rPr>
        <sz val="18"/>
        <rFont val="宋体"/>
        <family val="0"/>
      </rPr>
      <t>年度"核军工杯"各单项比赛前三名</t>
    </r>
  </si>
  <si>
    <r>
      <t>下面公布东华理工大学202</t>
    </r>
    <r>
      <rPr>
        <sz val="18"/>
        <rFont val="宋体"/>
        <family val="0"/>
      </rPr>
      <t>3</t>
    </r>
    <r>
      <rPr>
        <sz val="18"/>
        <rFont val="宋体"/>
        <family val="0"/>
      </rPr>
      <t>年度校内体育竞赛成绩：</t>
    </r>
  </si>
  <si>
    <t>3.拔河比赛:</t>
  </si>
  <si>
    <t>4.排球比赛:</t>
  </si>
  <si>
    <t>5.篮球赛:</t>
  </si>
  <si>
    <t>6.男子足球赛:</t>
  </si>
  <si>
    <t>文法艺</t>
  </si>
  <si>
    <t xml:space="preserve">              第十四名:国教学院、   </t>
  </si>
  <si>
    <t>2023年度体育竞赛积分排名总冠军:</t>
  </si>
  <si>
    <t>第四名：</t>
  </si>
  <si>
    <t>第五名：</t>
  </si>
  <si>
    <t>第六名：</t>
  </si>
  <si>
    <t>第七名：</t>
  </si>
  <si>
    <t>第八名：</t>
  </si>
  <si>
    <t>第三名：</t>
  </si>
  <si>
    <t>第二名：</t>
  </si>
  <si>
    <t>第一名：</t>
  </si>
  <si>
    <t>外国语学院、马克思主义学院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</si>
</sst>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2"/>
      <name val="宋体"/>
      <family val="0"/>
    </font>
    <font>
      <sz val="11"/>
      <color indexed="8"/>
      <name val="等线"/>
      <family val="0"/>
    </font>
    <font>
      <sz val="26"/>
      <name val="黑体"/>
      <family val="3"/>
    </font>
    <font>
      <sz val="9"/>
      <name val="华文中宋"/>
      <family val="0"/>
    </font>
    <font>
      <sz val="16"/>
      <name val="华文中宋"/>
      <family val="0"/>
    </font>
    <font>
      <sz val="9"/>
      <name val="宋体"/>
      <family val="0"/>
    </font>
    <font>
      <sz val="16"/>
      <color indexed="12"/>
      <name val="华文中宋"/>
      <family val="0"/>
    </font>
    <font>
      <sz val="16"/>
      <name val="宋体"/>
      <family val="0"/>
    </font>
    <font>
      <sz val="19"/>
      <color indexed="12"/>
      <name val="黑体"/>
      <family val="3"/>
    </font>
    <font>
      <sz val="19"/>
      <color indexed="12"/>
      <name val="宋体"/>
      <family val="0"/>
    </font>
    <font>
      <sz val="18"/>
      <name val="华文中宋"/>
      <family val="0"/>
    </font>
    <font>
      <sz val="26"/>
      <name val="华文中宋"/>
      <family val="0"/>
    </font>
    <font>
      <sz val="16"/>
      <color indexed="10"/>
      <name val="华文中宋"/>
      <family val="0"/>
    </font>
    <font>
      <sz val="19"/>
      <color indexed="10"/>
      <name val="黑体"/>
      <family val="3"/>
    </font>
    <font>
      <sz val="19"/>
      <color indexed="10"/>
      <name val="宋体"/>
      <family val="0"/>
    </font>
    <font>
      <sz val="20"/>
      <name val="黑体"/>
      <family val="3"/>
    </font>
    <font>
      <sz val="20"/>
      <name val="宋体"/>
      <family val="0"/>
    </font>
    <font>
      <sz val="15"/>
      <name val="黑体"/>
      <family val="3"/>
    </font>
    <font>
      <sz val="15"/>
      <name val="宋体"/>
      <family val="0"/>
    </font>
    <font>
      <sz val="18"/>
      <name val="宋体"/>
      <family val="0"/>
    </font>
    <font>
      <sz val="15"/>
      <name val="华文中宋"/>
      <family val="0"/>
    </font>
    <font>
      <sz val="18"/>
      <name val="黑体"/>
      <family val="3"/>
    </font>
    <font>
      <sz val="16"/>
      <color indexed="60"/>
      <name val="宋体"/>
      <family val="0"/>
    </font>
    <font>
      <sz val="16"/>
      <color indexed="60"/>
      <name val="华文中宋"/>
      <family val="0"/>
    </font>
    <font>
      <sz val="16"/>
      <name val="黑体"/>
      <family val="3"/>
    </font>
    <font>
      <sz val="18"/>
      <color indexed="60"/>
      <name val="华文中宋"/>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sz val="18"/>
      <color indexed="12"/>
      <name val="宋体"/>
      <family val="0"/>
    </font>
    <font>
      <b/>
      <sz val="18"/>
      <color indexed="10"/>
      <name val="宋体"/>
      <family val="0"/>
    </font>
    <font>
      <sz val="19"/>
      <color indexed="20"/>
      <name val="黑体"/>
      <family val="3"/>
    </font>
    <font>
      <sz val="16"/>
      <color indexed="20"/>
      <name val="华文中宋"/>
      <family val="0"/>
    </font>
    <font>
      <sz val="26"/>
      <color indexed="48"/>
      <name val="华文中宋"/>
      <family val="0"/>
    </font>
    <font>
      <b/>
      <sz val="14"/>
      <name val="宋体"/>
      <family val="0"/>
    </font>
    <font>
      <sz val="14"/>
      <name val="宋体"/>
      <family val="0"/>
    </font>
    <font>
      <sz val="26"/>
      <name val="宋体"/>
      <family val="0"/>
    </font>
    <font>
      <sz val="22"/>
      <name val="微软雅黑"/>
      <family val="2"/>
    </font>
    <font>
      <sz val="26"/>
      <color indexed="10"/>
      <name val="华文中宋"/>
      <family val="0"/>
    </font>
    <font>
      <sz val="11"/>
      <color theme="1"/>
      <name val="Calibri"/>
      <family val="0"/>
    </font>
    <font>
      <sz val="26"/>
      <color rgb="FFFF0000"/>
      <name val="华文中宋"/>
      <family val="0"/>
    </font>
    <font>
      <sz val="16"/>
      <color rgb="FFFF0000"/>
      <name val="华文中宋"/>
      <family val="0"/>
    </font>
    <font>
      <sz val="16"/>
      <color rgb="FF0000FF"/>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9" tint="0.599990010261535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color indexed="63"/>
      </bottom>
    </border>
    <border diagonalDown="1">
      <left>
        <color indexed="63"/>
      </left>
      <right style="medium"/>
      <top style="medium"/>
      <bottom>
        <color indexed="63"/>
      </bottom>
      <diagonal style="thin"/>
    </border>
    <border>
      <left style="medium"/>
      <right style="medium"/>
      <top>
        <color indexed="63"/>
      </top>
      <bottom>
        <color indexed="63"/>
      </bottom>
    </border>
    <border diagonalDown="1">
      <left>
        <color indexed="63"/>
      </left>
      <right style="medium"/>
      <top>
        <color indexed="63"/>
      </top>
      <bottom style="medium">
        <color indexed="9"/>
      </bottom>
      <diagonal style="thin"/>
    </border>
    <border>
      <left style="medium"/>
      <right style="medium"/>
      <top>
        <color indexed="63"/>
      </top>
      <bottom style="medium"/>
    </border>
    <border diagonalDown="1">
      <left>
        <color indexed="63"/>
      </left>
      <right style="medium"/>
      <top>
        <color indexed="63"/>
      </top>
      <bottom style="medium"/>
      <diagonal style="thin"/>
    </border>
    <border>
      <left>
        <color indexed="63"/>
      </left>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6" fillId="0" borderId="1" applyNumberFormat="0" applyFill="0" applyAlignment="0" applyProtection="0"/>
    <xf numFmtId="0" fontId="28"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3" fillId="3" borderId="0" applyNumberFormat="0" applyBorder="0" applyAlignment="0" applyProtection="0"/>
    <xf numFmtId="0" fontId="39" fillId="0" borderId="0" applyNumberFormat="0" applyFill="0" applyBorder="0" applyAlignment="0" applyProtection="0"/>
    <xf numFmtId="0" fontId="42" fillId="4"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16" borderId="5" applyNumberFormat="0" applyAlignment="0" applyProtection="0"/>
    <xf numFmtId="0" fontId="27" fillId="17" borderId="6"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18" borderId="0" applyNumberFormat="0" applyBorder="0" applyAlignment="0" applyProtection="0"/>
    <xf numFmtId="0" fontId="35" fillId="16" borderId="8" applyNumberFormat="0" applyAlignment="0" applyProtection="0"/>
    <xf numFmtId="0" fontId="41" fillId="7" borderId="5" applyNumberFormat="0" applyAlignment="0" applyProtection="0"/>
    <xf numFmtId="0" fontId="32" fillId="0" borderId="0" applyNumberFormat="0" applyFill="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2" borderId="0" applyNumberFormat="0" applyBorder="0" applyAlignment="0" applyProtection="0"/>
    <xf numFmtId="0" fontId="0" fillId="23" borderId="9" applyNumberFormat="0" applyFont="0" applyAlignment="0" applyProtection="0"/>
  </cellStyleXfs>
  <cellXfs count="13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justify" vertical="top" wrapText="1"/>
    </xf>
    <xf numFmtId="0" fontId="0" fillId="0" borderId="12" xfId="0" applyBorder="1" applyAlignment="1">
      <alignment vertical="center"/>
    </xf>
    <xf numFmtId="0" fontId="3" fillId="0" borderId="13" xfId="0" applyFont="1" applyBorder="1" applyAlignment="1">
      <alignment horizontal="justify" vertical="top" wrapText="1"/>
    </xf>
    <xf numFmtId="0" fontId="0" fillId="0" borderId="14" xfId="0" applyBorder="1" applyAlignment="1">
      <alignment vertical="center"/>
    </xf>
    <xf numFmtId="0" fontId="5" fillId="0" borderId="15" xfId="0" applyFont="1" applyBorder="1" applyAlignment="1">
      <alignment horizontal="justify" vertical="top" wrapText="1"/>
    </xf>
    <xf numFmtId="0" fontId="4" fillId="0" borderId="14" xfId="0" applyFont="1" applyBorder="1" applyAlignment="1">
      <alignment horizontal="center" vertical="center" wrapText="1"/>
    </xf>
    <xf numFmtId="0" fontId="6" fillId="0" borderId="14" xfId="0" applyFont="1" applyBorder="1" applyAlignment="1">
      <alignment horizontal="justify" vertical="top" wrapText="1"/>
    </xf>
    <xf numFmtId="0" fontId="6" fillId="0" borderId="16" xfId="0" applyFont="1" applyBorder="1" applyAlignment="1">
      <alignment horizontal="center" vertical="center" wrapText="1"/>
    </xf>
    <xf numFmtId="0" fontId="10" fillId="18"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4" xfId="0" applyFont="1" applyBorder="1" applyAlignment="1">
      <alignment horizontal="justify" vertical="top" wrapText="1"/>
    </xf>
    <xf numFmtId="0" fontId="11" fillId="6" borderId="1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0" borderId="14" xfId="0" applyFont="1" applyBorder="1" applyAlignment="1">
      <alignment horizontal="justify" vertical="center" wrapText="1"/>
    </xf>
    <xf numFmtId="0" fontId="4" fillId="0" borderId="16" xfId="0" applyFont="1" applyBorder="1" applyAlignment="1">
      <alignment horizontal="center" vertical="center" wrapText="1"/>
    </xf>
    <xf numFmtId="0" fontId="4" fillId="0" borderId="14" xfId="0" applyFont="1" applyBorder="1" applyAlignment="1">
      <alignment horizontal="justify" vertical="top" wrapText="1"/>
    </xf>
    <xf numFmtId="0" fontId="4" fillId="0" borderId="14" xfId="0" applyFont="1" applyBorder="1" applyAlignment="1">
      <alignment vertical="top" wrapText="1"/>
    </xf>
    <xf numFmtId="0" fontId="20" fillId="0" borderId="17" xfId="0" applyFont="1" applyBorder="1" applyAlignment="1">
      <alignment vertical="center"/>
    </xf>
    <xf numFmtId="0" fontId="4" fillId="0" borderId="17" xfId="0" applyFont="1" applyBorder="1" applyAlignment="1">
      <alignment horizontal="justify" vertical="center" wrapText="1"/>
    </xf>
    <xf numFmtId="0" fontId="19" fillId="0" borderId="18" xfId="0" applyFont="1" applyBorder="1" applyAlignment="1">
      <alignment vertical="center"/>
    </xf>
    <xf numFmtId="0" fontId="10" fillId="7" borderId="16" xfId="0" applyFont="1" applyFill="1" applyBorder="1" applyAlignment="1">
      <alignment horizontal="center" vertical="center" wrapText="1"/>
    </xf>
    <xf numFmtId="0" fontId="23" fillId="0" borderId="14" xfId="0" applyFont="1" applyBorder="1" applyAlignment="1">
      <alignment horizontal="justify" vertical="center" wrapText="1"/>
    </xf>
    <xf numFmtId="0" fontId="23" fillId="0" borderId="16" xfId="0" applyFont="1" applyBorder="1" applyAlignment="1">
      <alignment horizontal="center" vertical="center" wrapText="1"/>
    </xf>
    <xf numFmtId="0" fontId="23" fillId="0" borderId="17" xfId="0" applyFont="1" applyBorder="1" applyAlignment="1">
      <alignment horizontal="justify" vertical="center" wrapText="1"/>
    </xf>
    <xf numFmtId="0" fontId="23" fillId="0" borderId="17" xfId="0" applyFont="1" applyFill="1" applyBorder="1" applyAlignment="1">
      <alignment horizontal="justify" vertical="center" wrapText="1"/>
    </xf>
    <xf numFmtId="0" fontId="23" fillId="0" borderId="16"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11" fillId="0" borderId="17" xfId="0" applyFont="1" applyBorder="1" applyAlignment="1">
      <alignment horizontal="center" vertical="center" wrapText="1"/>
    </xf>
    <xf numFmtId="0" fontId="0" fillId="0" borderId="19" xfId="0" applyBorder="1" applyAlignment="1">
      <alignment horizontal="center" vertical="center"/>
    </xf>
    <xf numFmtId="0" fontId="19" fillId="0" borderId="20" xfId="0" applyFont="1" applyBorder="1" applyAlignment="1">
      <alignment horizontal="center" vertical="center"/>
    </xf>
    <xf numFmtId="0" fontId="0" fillId="0" borderId="0" xfId="0" applyAlignment="1">
      <alignment vertical="center"/>
    </xf>
    <xf numFmtId="0" fontId="0" fillId="0" borderId="21" xfId="0" applyBorder="1" applyAlignment="1">
      <alignment vertical="center" wrapText="1"/>
    </xf>
    <xf numFmtId="0" fontId="4" fillId="0" borderId="17" xfId="0" applyFont="1" applyFill="1" applyBorder="1" applyAlignment="1">
      <alignment horizontal="justify" vertical="center" wrapText="1"/>
    </xf>
    <xf numFmtId="0" fontId="4" fillId="0" borderId="17" xfId="0" applyFont="1" applyBorder="1" applyAlignment="1">
      <alignment horizontal="center" vertical="center" wrapText="1"/>
    </xf>
    <xf numFmtId="0" fontId="7" fillId="0" borderId="0" xfId="0" applyFont="1" applyAlignment="1">
      <alignment horizontal="center" vertical="center"/>
    </xf>
    <xf numFmtId="0" fontId="47" fillId="0" borderId="19" xfId="0" applyFont="1" applyFill="1" applyBorder="1" applyAlignment="1">
      <alignment horizontal="center" vertical="center" wrapText="1"/>
    </xf>
    <xf numFmtId="0" fontId="49" fillId="0" borderId="17" xfId="0" applyFont="1" applyBorder="1" applyAlignment="1">
      <alignment horizontal="center" vertical="center"/>
    </xf>
    <xf numFmtId="0" fontId="49" fillId="0" borderId="17" xfId="0" applyNumberFormat="1" applyFont="1" applyBorder="1" applyAlignment="1">
      <alignment horizontal="center" vertical="center"/>
    </xf>
    <xf numFmtId="0" fontId="0" fillId="0" borderId="0" xfId="0" applyAlignment="1">
      <alignment horizontal="centerContinuous" vertical="center"/>
    </xf>
    <xf numFmtId="0" fontId="50" fillId="0" borderId="0" xfId="0" applyFont="1" applyAlignment="1">
      <alignment horizontal="centerContinuous" vertical="center"/>
    </xf>
    <xf numFmtId="0" fontId="48" fillId="0" borderId="14" xfId="0" applyFont="1" applyBorder="1" applyAlignment="1">
      <alignment horizontal="left" vertical="center" wrapText="1"/>
    </xf>
    <xf numFmtId="0" fontId="23" fillId="0" borderId="17" xfId="0" applyFont="1" applyFill="1" applyBorder="1" applyAlignment="1">
      <alignment horizontal="justify" vertical="center" wrapText="1"/>
    </xf>
    <xf numFmtId="0" fontId="11" fillId="24" borderId="16" xfId="0" applyFont="1" applyFill="1" applyBorder="1" applyAlignment="1">
      <alignment horizontal="center" vertical="center" wrapText="1"/>
    </xf>
    <xf numFmtId="0" fontId="56" fillId="24" borderId="16" xfId="0" applyFont="1" applyFill="1" applyBorder="1" applyAlignment="1">
      <alignment horizontal="center" vertical="center" wrapText="1"/>
    </xf>
    <xf numFmtId="0" fontId="57" fillId="0" borderId="16" xfId="0" applyFont="1" applyBorder="1" applyAlignment="1">
      <alignment horizontal="center" vertical="center" wrapText="1"/>
    </xf>
    <xf numFmtId="0" fontId="57" fillId="0" borderId="16" xfId="0" applyNumberFormat="1" applyFont="1" applyBorder="1" applyAlignment="1">
      <alignment horizontal="center" vertical="center" wrapText="1"/>
    </xf>
    <xf numFmtId="0" fontId="58" fillId="0" borderId="16" xfId="0" applyFont="1" applyBorder="1" applyAlignment="1">
      <alignment horizontal="center" vertical="center" wrapText="1"/>
    </xf>
    <xf numFmtId="0" fontId="23" fillId="0" borderId="17" xfId="0" applyFont="1" applyBorder="1" applyAlignment="1">
      <alignment horizontal="justify" vertical="center" wrapText="1"/>
    </xf>
    <xf numFmtId="0" fontId="19" fillId="0" borderId="17"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vertical="center"/>
    </xf>
    <xf numFmtId="0" fontId="52"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12" fillId="0" borderId="14" xfId="0" applyFont="1" applyBorder="1" applyAlignment="1">
      <alignment horizontal="justify" vertical="top" wrapText="1"/>
    </xf>
    <xf numFmtId="0" fontId="51" fillId="0" borderId="0" xfId="0" applyFont="1" applyAlignment="1">
      <alignment horizontal="center" vertical="center"/>
    </xf>
    <xf numFmtId="0" fontId="5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1" fillId="0" borderId="0" xfId="0" applyFont="1" applyAlignment="1">
      <alignment horizontal="left" vertical="center"/>
    </xf>
    <xf numFmtId="0" fontId="7" fillId="0" borderId="0" xfId="0" applyFont="1" applyAlignment="1">
      <alignment horizontal="left" vertical="center"/>
    </xf>
    <xf numFmtId="0" fontId="19" fillId="0" borderId="0" xfId="0" applyFont="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3" fillId="0" borderId="0" xfId="0" applyFont="1" applyAlignment="1">
      <alignment horizontal="center" vertical="center"/>
    </xf>
    <xf numFmtId="0" fontId="19" fillId="0" borderId="0" xfId="0" applyFont="1" applyAlignment="1">
      <alignment horizontal="center" vertical="center"/>
    </xf>
    <xf numFmtId="0" fontId="23" fillId="0" borderId="16" xfId="0" applyFont="1" applyBorder="1" applyAlignment="1">
      <alignment horizontal="center" vertical="center" wrapText="1"/>
    </xf>
    <xf numFmtId="0" fontId="19" fillId="0" borderId="17" xfId="0" applyFont="1" applyBorder="1" applyAlignment="1">
      <alignment horizontal="center" vertical="center" shrinkToFit="1"/>
    </xf>
    <xf numFmtId="0" fontId="7" fillId="0" borderId="0" xfId="0" applyFont="1" applyAlignment="1">
      <alignment horizontal="center" vertical="center"/>
    </xf>
    <xf numFmtId="0" fontId="23" fillId="0" borderId="17" xfId="0" applyFont="1" applyBorder="1" applyAlignment="1">
      <alignment horizontal="justify" vertical="center" wrapText="1"/>
    </xf>
    <xf numFmtId="0" fontId="23" fillId="0" borderId="17" xfId="0" applyFont="1" applyFill="1" applyBorder="1" applyAlignment="1">
      <alignment horizontal="justify" vertical="center" wrapText="1"/>
    </xf>
    <xf numFmtId="0" fontId="0" fillId="0" borderId="0" xfId="0" applyFont="1" applyAlignment="1">
      <alignment horizontal="left" vertical="center"/>
    </xf>
    <xf numFmtId="0" fontId="19" fillId="0" borderId="0" xfId="0" applyFont="1" applyAlignment="1">
      <alignment horizontal="left" vertical="center"/>
    </xf>
    <xf numFmtId="0" fontId="7" fillId="0" borderId="0" xfId="0" applyFont="1" applyAlignment="1">
      <alignment horizontal="center" vertical="center"/>
    </xf>
    <xf numFmtId="0" fontId="51" fillId="0" borderId="0" xfId="0" applyFont="1" applyAlignment="1">
      <alignment horizontal="left" vertical="center"/>
    </xf>
    <xf numFmtId="0" fontId="57" fillId="0" borderId="14" xfId="0" applyFont="1" applyBorder="1" applyAlignment="1">
      <alignment horizontal="left" vertical="center" wrapText="1"/>
    </xf>
    <xf numFmtId="0" fontId="57" fillId="0" borderId="17" xfId="0" applyFont="1" applyBorder="1" applyAlignment="1">
      <alignment horizontal="center" vertical="center"/>
    </xf>
    <xf numFmtId="0" fontId="57" fillId="0" borderId="17" xfId="0" applyNumberFormat="1" applyFont="1" applyBorder="1" applyAlignment="1">
      <alignment horizontal="center" vertical="center"/>
    </xf>
    <xf numFmtId="0" fontId="57" fillId="0" borderId="17" xfId="0" applyFont="1" applyBorder="1" applyAlignment="1">
      <alignment vertical="center"/>
    </xf>
    <xf numFmtId="0" fontId="58" fillId="0" borderId="14" xfId="0" applyFont="1" applyBorder="1" applyAlignment="1">
      <alignment horizontal="left" vertical="center" wrapText="1"/>
    </xf>
    <xf numFmtId="0" fontId="58" fillId="0" borderId="17" xfId="0" applyFont="1" applyBorder="1" applyAlignment="1">
      <alignment horizontal="center" vertical="center"/>
    </xf>
    <xf numFmtId="0" fontId="58" fillId="0" borderId="17" xfId="0" applyFont="1" applyBorder="1" applyAlignment="1">
      <alignment vertical="center"/>
    </xf>
    <xf numFmtId="0" fontId="51" fillId="0" borderId="0" xfId="0" applyFont="1" applyAlignment="1">
      <alignment horizontal="left" vertical="center"/>
    </xf>
    <xf numFmtId="0" fontId="51" fillId="0" borderId="0" xfId="0" applyFont="1" applyBorder="1" applyAlignment="1">
      <alignment horizontal="left" vertical="center"/>
    </xf>
    <xf numFmtId="0" fontId="51" fillId="0" borderId="0" xfId="0" applyFont="1" applyAlignment="1">
      <alignment horizontal="right" vertical="center"/>
    </xf>
    <xf numFmtId="0" fontId="18" fillId="0" borderId="0" xfId="0" applyFont="1" applyAlignment="1">
      <alignment horizontal="center" vertical="center"/>
    </xf>
    <xf numFmtId="0" fontId="15" fillId="24" borderId="19" xfId="0" applyFont="1" applyFill="1" applyBorder="1" applyAlignment="1">
      <alignment horizontal="justify" vertical="center" wrapText="1"/>
    </xf>
    <xf numFmtId="0" fontId="16" fillId="24" borderId="20" xfId="0" applyFont="1" applyFill="1" applyBorder="1" applyAlignment="1">
      <alignment vertical="center"/>
    </xf>
    <xf numFmtId="0" fontId="17" fillId="7" borderId="19" xfId="0" applyNumberFormat="1" applyFont="1" applyFill="1" applyBorder="1" applyAlignment="1">
      <alignment horizontal="justify" vertical="center" wrapText="1"/>
    </xf>
    <xf numFmtId="0" fontId="18" fillId="7" borderId="20" xfId="0" applyFont="1" applyFill="1" applyBorder="1" applyAlignment="1">
      <alignment horizontal="justify" vertical="center" wrapText="1"/>
    </xf>
    <xf numFmtId="0" fontId="15" fillId="18" borderId="19" xfId="0" applyNumberFormat="1" applyFont="1" applyFill="1" applyBorder="1" applyAlignment="1">
      <alignment horizontal="justify" vertical="center" wrapText="1"/>
    </xf>
    <xf numFmtId="0" fontId="15" fillId="18" borderId="20" xfId="0" applyNumberFormat="1" applyFont="1" applyFill="1" applyBorder="1" applyAlignment="1">
      <alignment horizontal="justify" vertical="center" wrapText="1"/>
    </xf>
    <xf numFmtId="0" fontId="8" fillId="18" borderId="19" xfId="0" applyFont="1" applyFill="1" applyBorder="1" applyAlignment="1">
      <alignment horizontal="justify" vertical="center" wrapText="1"/>
    </xf>
    <xf numFmtId="0" fontId="9" fillId="18" borderId="16" xfId="0" applyFont="1" applyFill="1" applyBorder="1" applyAlignment="1">
      <alignment vertical="center"/>
    </xf>
    <xf numFmtId="0" fontId="8" fillId="24" borderId="19" xfId="0" applyFont="1" applyFill="1" applyBorder="1" applyAlignment="1">
      <alignment horizontal="justify" vertical="center" wrapText="1"/>
    </xf>
    <xf numFmtId="0" fontId="9" fillId="24" borderId="20" xfId="0" applyFont="1" applyFill="1" applyBorder="1" applyAlignment="1">
      <alignment vertical="center"/>
    </xf>
    <xf numFmtId="0" fontId="13" fillId="18" borderId="19" xfId="0" applyFont="1" applyFill="1" applyBorder="1" applyAlignment="1">
      <alignment horizontal="justify" vertical="center" wrapText="1"/>
    </xf>
    <xf numFmtId="0" fontId="14" fillId="18" borderId="16" xfId="0" applyFont="1" applyFill="1" applyBorder="1" applyAlignment="1">
      <alignment vertical="center"/>
    </xf>
    <xf numFmtId="0" fontId="13" fillId="24" borderId="19" xfId="0" applyFont="1" applyFill="1" applyBorder="1" applyAlignment="1">
      <alignment horizontal="justify" vertical="center" wrapText="1"/>
    </xf>
    <xf numFmtId="0" fontId="14" fillId="24" borderId="20" xfId="0" applyFont="1" applyFill="1" applyBorder="1" applyAlignment="1">
      <alignment vertical="center"/>
    </xf>
    <xf numFmtId="0" fontId="0" fillId="0" borderId="21" xfId="0" applyFont="1" applyBorder="1" applyAlignment="1">
      <alignment vertical="center" wrapText="1"/>
    </xf>
    <xf numFmtId="0" fontId="0" fillId="0" borderId="21" xfId="0" applyBorder="1" applyAlignment="1">
      <alignment vertical="center" wrapText="1"/>
    </xf>
    <xf numFmtId="0" fontId="45" fillId="0" borderId="12" xfId="0" applyFont="1" applyBorder="1" applyAlignment="1">
      <alignment horizontal="center" vertical="center" textRotation="255"/>
    </xf>
    <xf numFmtId="0" fontId="46" fillId="0" borderId="12"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12" xfId="0" applyFont="1" applyBorder="1" applyAlignment="1">
      <alignment vertical="center"/>
    </xf>
    <xf numFmtId="0" fontId="22" fillId="0" borderId="22" xfId="0" applyFont="1" applyFill="1" applyBorder="1" applyAlignment="1">
      <alignment horizontal="center" vertical="center" textRotation="255"/>
    </xf>
    <xf numFmtId="0" fontId="22" fillId="0" borderId="23"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21" fillId="0" borderId="19" xfId="0" applyNumberFormat="1" applyFont="1" applyFill="1" applyBorder="1" applyAlignment="1">
      <alignment vertical="center" wrapText="1"/>
    </xf>
    <xf numFmtId="0" fontId="21" fillId="0" borderId="20" xfId="0" applyNumberFormat="1" applyFont="1" applyFill="1" applyBorder="1" applyAlignment="1">
      <alignment vertical="center" wrapText="1"/>
    </xf>
    <xf numFmtId="0" fontId="24" fillId="7" borderId="19" xfId="0" applyFont="1" applyFill="1" applyBorder="1" applyAlignment="1">
      <alignment horizontal="justify" vertical="center" wrapText="1"/>
    </xf>
    <xf numFmtId="0" fontId="7" fillId="7" borderId="20" xfId="0" applyFont="1" applyFill="1" applyBorder="1" applyAlignment="1">
      <alignment vertical="center"/>
    </xf>
    <xf numFmtId="0" fontId="24" fillId="0" borderId="17" xfId="0" applyFont="1" applyFill="1" applyBorder="1" applyAlignment="1">
      <alignment horizontal="justify" vertical="center" wrapText="1"/>
    </xf>
    <xf numFmtId="0" fontId="7" fillId="0" borderId="17" xfId="0" applyFont="1" applyBorder="1" applyAlignment="1">
      <alignment vertical="center"/>
    </xf>
    <xf numFmtId="0" fontId="15" fillId="6" borderId="19" xfId="0" applyFont="1" applyFill="1" applyBorder="1" applyAlignment="1">
      <alignment horizontal="justify" vertical="center" wrapText="1"/>
    </xf>
    <xf numFmtId="0" fontId="16" fillId="6" borderId="20" xfId="0" applyFont="1" applyFill="1" applyBorder="1" applyAlignment="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xf>
    <xf numFmtId="0" fontId="4"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6"/>
  <sheetViews>
    <sheetView tabSelected="1" zoomScale="70" zoomScaleNormal="7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W9" sqref="W9"/>
    </sheetView>
  </sheetViews>
  <sheetFormatPr defaultColWidth="9.00390625" defaultRowHeight="14.25"/>
  <cols>
    <col min="1" max="1" width="5.00390625" style="0" customWidth="1"/>
    <col min="2" max="2" width="23.375" style="0" customWidth="1"/>
    <col min="3" max="3" width="10.625" style="2" customWidth="1"/>
    <col min="4" max="17" width="10.625" style="0" customWidth="1"/>
    <col min="18" max="18" width="10.625" style="2" customWidth="1"/>
    <col min="19" max="19" width="7.625" style="38" hidden="1" customWidth="1"/>
    <col min="20" max="20" width="7.625" style="0" customWidth="1"/>
    <col min="21" max="21" width="7.625" style="74" hidden="1" customWidth="1"/>
  </cols>
  <sheetData>
    <row r="1" spans="2:18" ht="20.25">
      <c r="B1" s="127" t="s">
        <v>107</v>
      </c>
      <c r="C1" s="127"/>
      <c r="D1" s="127"/>
      <c r="E1" s="127"/>
      <c r="F1" s="127"/>
      <c r="G1" s="127"/>
      <c r="H1" s="127"/>
      <c r="I1" s="127"/>
      <c r="J1" s="127"/>
      <c r="K1" s="127"/>
      <c r="L1" s="127"/>
      <c r="M1" s="127"/>
      <c r="N1" s="127"/>
      <c r="O1" s="127"/>
      <c r="P1" s="127"/>
      <c r="Q1" s="127"/>
      <c r="R1" s="127"/>
    </row>
    <row r="2" spans="2:18" ht="21" thickBot="1">
      <c r="B2" s="128"/>
      <c r="C2" s="128"/>
      <c r="D2" s="128"/>
      <c r="E2" s="128"/>
      <c r="F2" s="128"/>
      <c r="G2" s="128"/>
      <c r="H2" s="128"/>
      <c r="I2" s="128"/>
      <c r="J2" s="128"/>
      <c r="K2" s="128"/>
      <c r="L2" s="128"/>
      <c r="M2" s="128"/>
      <c r="N2" s="128"/>
      <c r="O2" s="128"/>
      <c r="P2" s="128"/>
      <c r="Q2" s="128"/>
      <c r="R2" s="128"/>
    </row>
    <row r="3" spans="1:18" ht="14.25" customHeight="1">
      <c r="A3" s="3"/>
      <c r="B3" s="4" t="s">
        <v>0</v>
      </c>
      <c r="C3" s="124" t="s">
        <v>1</v>
      </c>
      <c r="D3" s="124" t="s">
        <v>2</v>
      </c>
      <c r="E3" s="124" t="s">
        <v>3</v>
      </c>
      <c r="F3" s="124" t="s">
        <v>4</v>
      </c>
      <c r="G3" s="124" t="s">
        <v>105</v>
      </c>
      <c r="H3" s="124" t="s">
        <v>5</v>
      </c>
      <c r="I3" s="124" t="s">
        <v>6</v>
      </c>
      <c r="J3" s="124" t="s">
        <v>7</v>
      </c>
      <c r="K3" s="124" t="s">
        <v>8</v>
      </c>
      <c r="L3" s="124" t="s">
        <v>56</v>
      </c>
      <c r="M3" s="124" t="s">
        <v>9</v>
      </c>
      <c r="N3" s="124" t="s">
        <v>119</v>
      </c>
      <c r="O3" s="124" t="s">
        <v>10</v>
      </c>
      <c r="P3" s="124" t="s">
        <v>65</v>
      </c>
      <c r="Q3" s="129" t="s">
        <v>108</v>
      </c>
      <c r="R3" s="124" t="s">
        <v>11</v>
      </c>
    </row>
    <row r="4" spans="1:18" ht="13.5" customHeight="1" thickBot="1">
      <c r="A4" s="5"/>
      <c r="B4" s="6" t="s">
        <v>12</v>
      </c>
      <c r="C4" s="125"/>
      <c r="D4" s="125"/>
      <c r="E4" s="125"/>
      <c r="F4" s="125"/>
      <c r="G4" s="125"/>
      <c r="H4" s="125"/>
      <c r="I4" s="125"/>
      <c r="J4" s="125"/>
      <c r="K4" s="125"/>
      <c r="L4" s="125"/>
      <c r="M4" s="125"/>
      <c r="N4" s="125"/>
      <c r="O4" s="125"/>
      <c r="P4" s="125"/>
      <c r="Q4" s="125"/>
      <c r="R4" s="125"/>
    </row>
    <row r="5" spans="1:18" ht="12.75" customHeight="1" thickBot="1">
      <c r="A5" s="7"/>
      <c r="B5" s="8" t="s">
        <v>13</v>
      </c>
      <c r="C5" s="126"/>
      <c r="D5" s="126"/>
      <c r="E5" s="126"/>
      <c r="F5" s="126"/>
      <c r="G5" s="126"/>
      <c r="H5" s="126"/>
      <c r="I5" s="126"/>
      <c r="J5" s="126"/>
      <c r="K5" s="126"/>
      <c r="L5" s="126"/>
      <c r="M5" s="126"/>
      <c r="N5" s="126"/>
      <c r="O5" s="126"/>
      <c r="P5" s="126"/>
      <c r="Q5" s="126"/>
      <c r="R5" s="126"/>
    </row>
    <row r="6" spans="1:21" ht="25.5" customHeight="1" thickBot="1">
      <c r="A6" s="108" t="s">
        <v>57</v>
      </c>
      <c r="B6" s="10" t="s">
        <v>14</v>
      </c>
      <c r="C6" s="11">
        <v>8</v>
      </c>
      <c r="D6" s="11">
        <v>9</v>
      </c>
      <c r="E6" s="11"/>
      <c r="F6" s="11"/>
      <c r="G6" s="11"/>
      <c r="H6" s="11">
        <v>1</v>
      </c>
      <c r="I6" s="11"/>
      <c r="J6" s="11"/>
      <c r="K6" s="11"/>
      <c r="L6" s="11">
        <v>2</v>
      </c>
      <c r="M6" s="11">
        <v>6</v>
      </c>
      <c r="N6" s="11"/>
      <c r="O6" s="11"/>
      <c r="P6" s="11"/>
      <c r="Q6" s="11"/>
      <c r="R6" s="11">
        <v>11</v>
      </c>
      <c r="S6" s="38">
        <f>R6+Q6+P6+O6+N6+M6+L6+K6+J6+I6+H6+G6+F6+E6+D6+C6</f>
        <v>37</v>
      </c>
      <c r="U6" s="74">
        <f>R6+Q6+P6+O6+N6+M6+L6+K6+J6+I6+H6+G6+F6+E6+D6+C6</f>
        <v>37</v>
      </c>
    </row>
    <row r="7" spans="1:21" ht="25.5" customHeight="1" thickBot="1">
      <c r="A7" s="108"/>
      <c r="B7" s="10" t="s">
        <v>15</v>
      </c>
      <c r="C7" s="11">
        <v>5</v>
      </c>
      <c r="D7" s="11">
        <v>2</v>
      </c>
      <c r="E7" s="11">
        <v>7</v>
      </c>
      <c r="F7" s="11"/>
      <c r="G7" s="11"/>
      <c r="H7" s="11"/>
      <c r="I7" s="11"/>
      <c r="J7" s="11">
        <v>1</v>
      </c>
      <c r="K7" s="11"/>
      <c r="L7" s="11">
        <v>3</v>
      </c>
      <c r="M7" s="11">
        <v>9</v>
      </c>
      <c r="N7" s="11"/>
      <c r="O7" s="11"/>
      <c r="P7" s="11"/>
      <c r="Q7" s="11"/>
      <c r="R7" s="11">
        <v>10</v>
      </c>
      <c r="S7" s="38">
        <f aca="true" t="shared" si="0" ref="S7:S55">R7+Q7+P7+O7+N7+M7+L7+K7+J7+I7+H7+G7+F7+E7+D7+C7</f>
        <v>37</v>
      </c>
      <c r="U7" s="74">
        <f aca="true" t="shared" si="1" ref="U7:U70">R7+Q7+P7+O7+N7+M7+L7+K7+J7+I7+H7+G7+F7+E7+D7+C7</f>
        <v>37</v>
      </c>
    </row>
    <row r="8" spans="1:21" ht="25.5" customHeight="1" thickBot="1">
      <c r="A8" s="108"/>
      <c r="B8" s="10" t="s">
        <v>16</v>
      </c>
      <c r="C8" s="11">
        <v>4</v>
      </c>
      <c r="D8" s="11">
        <v>7</v>
      </c>
      <c r="E8" s="11">
        <v>15</v>
      </c>
      <c r="F8" s="11"/>
      <c r="G8" s="11"/>
      <c r="H8" s="11"/>
      <c r="I8" s="11">
        <v>4</v>
      </c>
      <c r="J8" s="11">
        <v>2</v>
      </c>
      <c r="K8" s="11"/>
      <c r="L8" s="11"/>
      <c r="M8" s="11"/>
      <c r="N8" s="11"/>
      <c r="O8" s="11"/>
      <c r="P8" s="11"/>
      <c r="Q8" s="11">
        <v>5</v>
      </c>
      <c r="R8" s="11"/>
      <c r="S8" s="38">
        <f t="shared" si="0"/>
        <v>37</v>
      </c>
      <c r="U8" s="74">
        <f t="shared" si="1"/>
        <v>37</v>
      </c>
    </row>
    <row r="9" spans="1:21" ht="25.5" customHeight="1" thickBot="1">
      <c r="A9" s="108"/>
      <c r="B9" s="10" t="s">
        <v>17</v>
      </c>
      <c r="C9" s="11">
        <v>7</v>
      </c>
      <c r="D9" s="11">
        <v>2</v>
      </c>
      <c r="E9" s="11">
        <v>5</v>
      </c>
      <c r="F9" s="11"/>
      <c r="G9" s="11"/>
      <c r="H9" s="11"/>
      <c r="I9" s="11">
        <v>9</v>
      </c>
      <c r="J9" s="11">
        <v>4</v>
      </c>
      <c r="K9" s="11"/>
      <c r="L9" s="11">
        <v>10</v>
      </c>
      <c r="M9" s="11"/>
      <c r="N9" s="11"/>
      <c r="O9" s="11"/>
      <c r="P9" s="11"/>
      <c r="Q9" s="11"/>
      <c r="R9" s="11"/>
      <c r="S9" s="38">
        <f t="shared" si="0"/>
        <v>37</v>
      </c>
      <c r="U9" s="74">
        <f t="shared" si="1"/>
        <v>37</v>
      </c>
    </row>
    <row r="10" spans="1:21" ht="25.5" customHeight="1" thickBot="1">
      <c r="A10" s="108"/>
      <c r="B10" s="10" t="s">
        <v>18</v>
      </c>
      <c r="C10" s="11">
        <v>12</v>
      </c>
      <c r="D10" s="11">
        <v>2</v>
      </c>
      <c r="E10" s="11"/>
      <c r="F10" s="11"/>
      <c r="G10" s="11"/>
      <c r="H10" s="11">
        <v>3</v>
      </c>
      <c r="I10" s="11">
        <v>9</v>
      </c>
      <c r="J10" s="11">
        <v>1</v>
      </c>
      <c r="K10" s="11"/>
      <c r="L10" s="11">
        <v>10</v>
      </c>
      <c r="M10" s="11"/>
      <c r="N10" s="11"/>
      <c r="O10" s="11"/>
      <c r="P10" s="11"/>
      <c r="Q10" s="11"/>
      <c r="R10" s="11"/>
      <c r="S10" s="38">
        <f t="shared" si="0"/>
        <v>37</v>
      </c>
      <c r="U10" s="74">
        <f t="shared" si="1"/>
        <v>37</v>
      </c>
    </row>
    <row r="11" spans="1:21" ht="25.5" customHeight="1" thickBot="1">
      <c r="A11" s="108"/>
      <c r="B11" s="10" t="s">
        <v>19</v>
      </c>
      <c r="C11" s="11">
        <v>15</v>
      </c>
      <c r="D11" s="11"/>
      <c r="E11" s="11"/>
      <c r="F11" s="11">
        <v>5</v>
      </c>
      <c r="G11" s="11"/>
      <c r="H11" s="11"/>
      <c r="I11" s="11">
        <v>13</v>
      </c>
      <c r="J11" s="11"/>
      <c r="K11" s="11"/>
      <c r="L11" s="11">
        <v>4</v>
      </c>
      <c r="M11" s="11"/>
      <c r="N11" s="11"/>
      <c r="O11" s="11"/>
      <c r="P11" s="11"/>
      <c r="Q11" s="11"/>
      <c r="R11" s="11"/>
      <c r="S11" s="38">
        <f t="shared" si="0"/>
        <v>37</v>
      </c>
      <c r="U11" s="74">
        <f t="shared" si="1"/>
        <v>37</v>
      </c>
    </row>
    <row r="12" spans="1:21" ht="25.5" customHeight="1" thickBot="1">
      <c r="A12" s="108"/>
      <c r="B12" s="10" t="s">
        <v>20</v>
      </c>
      <c r="C12" s="11">
        <v>6</v>
      </c>
      <c r="D12" s="11"/>
      <c r="E12" s="11"/>
      <c r="F12" s="11">
        <v>7</v>
      </c>
      <c r="G12" s="11"/>
      <c r="H12" s="11">
        <v>3</v>
      </c>
      <c r="I12" s="11">
        <v>11</v>
      </c>
      <c r="J12" s="11">
        <v>1</v>
      </c>
      <c r="K12" s="11"/>
      <c r="L12" s="11">
        <v>9</v>
      </c>
      <c r="M12" s="11"/>
      <c r="N12" s="11"/>
      <c r="O12" s="11"/>
      <c r="P12" s="11"/>
      <c r="Q12" s="11"/>
      <c r="R12" s="11"/>
      <c r="S12" s="38">
        <f t="shared" si="0"/>
        <v>37</v>
      </c>
      <c r="U12" s="74">
        <f t="shared" si="1"/>
        <v>37</v>
      </c>
    </row>
    <row r="13" spans="1:21" ht="25.5" customHeight="1" thickBot="1">
      <c r="A13" s="108"/>
      <c r="B13" s="10" t="s">
        <v>21</v>
      </c>
      <c r="C13" s="11">
        <v>18</v>
      </c>
      <c r="D13" s="11">
        <v>14</v>
      </c>
      <c r="E13" s="11">
        <v>6</v>
      </c>
      <c r="F13" s="11"/>
      <c r="G13" s="11"/>
      <c r="H13" s="11"/>
      <c r="I13" s="11">
        <v>4</v>
      </c>
      <c r="J13" s="11"/>
      <c r="K13" s="11">
        <v>2</v>
      </c>
      <c r="L13" s="11">
        <v>8</v>
      </c>
      <c r="M13" s="11">
        <v>10</v>
      </c>
      <c r="N13" s="11"/>
      <c r="O13" s="11"/>
      <c r="P13" s="11"/>
      <c r="Q13" s="11"/>
      <c r="R13" s="11">
        <v>12</v>
      </c>
      <c r="S13" s="38">
        <f t="shared" si="0"/>
        <v>74</v>
      </c>
      <c r="U13" s="74">
        <f t="shared" si="1"/>
        <v>74</v>
      </c>
    </row>
    <row r="14" spans="1:21" ht="25.5" customHeight="1" thickBot="1">
      <c r="A14" s="108"/>
      <c r="B14" s="10" t="s">
        <v>22</v>
      </c>
      <c r="C14" s="11">
        <v>6</v>
      </c>
      <c r="D14" s="11">
        <v>14</v>
      </c>
      <c r="E14" s="11">
        <v>18</v>
      </c>
      <c r="F14" s="11"/>
      <c r="G14" s="11">
        <v>8</v>
      </c>
      <c r="H14" s="11"/>
      <c r="I14" s="11">
        <v>12</v>
      </c>
      <c r="J14" s="11">
        <v>4</v>
      </c>
      <c r="K14" s="11"/>
      <c r="L14" s="11"/>
      <c r="M14" s="11"/>
      <c r="N14" s="11"/>
      <c r="O14" s="11"/>
      <c r="P14" s="11"/>
      <c r="Q14" s="11"/>
      <c r="R14" s="11">
        <v>10</v>
      </c>
      <c r="S14" s="38">
        <f t="shared" si="0"/>
        <v>72</v>
      </c>
      <c r="U14" s="74">
        <f t="shared" si="1"/>
        <v>72</v>
      </c>
    </row>
    <row r="15" spans="1:21" ht="25.5" customHeight="1" thickBot="1">
      <c r="A15" s="108"/>
      <c r="B15" s="10" t="s">
        <v>23</v>
      </c>
      <c r="C15" s="11"/>
      <c r="D15" s="11">
        <v>18</v>
      </c>
      <c r="E15" s="11">
        <v>4</v>
      </c>
      <c r="F15" s="11"/>
      <c r="G15" s="11">
        <v>14</v>
      </c>
      <c r="H15" s="11">
        <v>2</v>
      </c>
      <c r="I15" s="11">
        <v>10</v>
      </c>
      <c r="J15" s="11">
        <v>6</v>
      </c>
      <c r="K15" s="11"/>
      <c r="L15" s="11">
        <v>8</v>
      </c>
      <c r="M15" s="11">
        <v>12</v>
      </c>
      <c r="N15" s="11"/>
      <c r="O15" s="11"/>
      <c r="P15" s="11"/>
      <c r="Q15" s="11"/>
      <c r="R15" s="11"/>
      <c r="S15" s="38">
        <f t="shared" si="0"/>
        <v>74</v>
      </c>
      <c r="U15" s="74">
        <f t="shared" si="1"/>
        <v>74</v>
      </c>
    </row>
    <row r="16" spans="1:21" ht="25.5" customHeight="1" thickBot="1">
      <c r="A16" s="108"/>
      <c r="B16" s="10" t="s">
        <v>24</v>
      </c>
      <c r="C16" s="11"/>
      <c r="D16" s="11">
        <v>12</v>
      </c>
      <c r="E16" s="11">
        <v>2</v>
      </c>
      <c r="F16" s="11"/>
      <c r="G16" s="11">
        <v>8</v>
      </c>
      <c r="H16" s="11">
        <v>4</v>
      </c>
      <c r="I16" s="11">
        <v>18</v>
      </c>
      <c r="J16" s="11">
        <v>14</v>
      </c>
      <c r="K16" s="11">
        <v>6</v>
      </c>
      <c r="L16" s="11"/>
      <c r="M16" s="11">
        <v>10</v>
      </c>
      <c r="N16" s="11"/>
      <c r="O16" s="11"/>
      <c r="P16" s="11"/>
      <c r="Q16" s="11"/>
      <c r="R16" s="11"/>
      <c r="S16" s="38">
        <f t="shared" si="0"/>
        <v>74</v>
      </c>
      <c r="U16" s="74">
        <f t="shared" si="1"/>
        <v>74</v>
      </c>
    </row>
    <row r="17" spans="1:21" ht="25.5" customHeight="1" thickBot="1">
      <c r="A17" s="108"/>
      <c r="B17" s="10" t="s">
        <v>25</v>
      </c>
      <c r="C17" s="11"/>
      <c r="D17" s="11">
        <v>6</v>
      </c>
      <c r="E17" s="11">
        <v>14</v>
      </c>
      <c r="F17" s="11"/>
      <c r="G17" s="11">
        <v>10</v>
      </c>
      <c r="H17" s="11">
        <v>4</v>
      </c>
      <c r="I17" s="11">
        <v>2</v>
      </c>
      <c r="J17" s="11">
        <v>12</v>
      </c>
      <c r="K17" s="11"/>
      <c r="L17" s="11">
        <v>8</v>
      </c>
      <c r="M17" s="11">
        <v>18</v>
      </c>
      <c r="N17" s="11"/>
      <c r="O17" s="11"/>
      <c r="P17" s="11"/>
      <c r="Q17" s="11"/>
      <c r="R17" s="11"/>
      <c r="S17" s="38">
        <f t="shared" si="0"/>
        <v>74</v>
      </c>
      <c r="U17" s="74">
        <f t="shared" si="1"/>
        <v>74</v>
      </c>
    </row>
    <row r="18" spans="1:21" ht="25.5" customHeight="1" thickBot="1">
      <c r="A18" s="108"/>
      <c r="B18" s="10" t="s">
        <v>26</v>
      </c>
      <c r="C18" s="11"/>
      <c r="D18" s="11">
        <v>14</v>
      </c>
      <c r="E18" s="11">
        <v>4</v>
      </c>
      <c r="F18" s="11">
        <v>10</v>
      </c>
      <c r="G18" s="11">
        <v>8</v>
      </c>
      <c r="H18" s="11">
        <v>2</v>
      </c>
      <c r="I18" s="11">
        <v>18</v>
      </c>
      <c r="J18" s="11">
        <v>6</v>
      </c>
      <c r="K18" s="11"/>
      <c r="L18" s="11">
        <v>12</v>
      </c>
      <c r="M18" s="11"/>
      <c r="N18" s="11"/>
      <c r="O18" s="11"/>
      <c r="P18" s="11"/>
      <c r="Q18" s="11"/>
      <c r="R18" s="11"/>
      <c r="S18" s="38">
        <f t="shared" si="0"/>
        <v>74</v>
      </c>
      <c r="U18" s="74">
        <f t="shared" si="1"/>
        <v>74</v>
      </c>
    </row>
    <row r="19" spans="1:21" ht="25.5" customHeight="1" thickBot="1">
      <c r="A19" s="108"/>
      <c r="B19" s="10" t="s">
        <v>27</v>
      </c>
      <c r="C19" s="50">
        <v>14</v>
      </c>
      <c r="D19" s="50">
        <v>6</v>
      </c>
      <c r="E19" s="50"/>
      <c r="F19" s="50">
        <v>18</v>
      </c>
      <c r="G19" s="50">
        <v>14</v>
      </c>
      <c r="H19" s="50"/>
      <c r="I19" s="50">
        <v>12</v>
      </c>
      <c r="J19" s="50"/>
      <c r="K19" s="50"/>
      <c r="L19" s="50">
        <v>10</v>
      </c>
      <c r="M19" s="50"/>
      <c r="N19" s="50"/>
      <c r="O19" s="50"/>
      <c r="P19" s="50"/>
      <c r="Q19" s="50"/>
      <c r="R19" s="50"/>
      <c r="S19" s="38">
        <f t="shared" si="0"/>
        <v>74</v>
      </c>
      <c r="U19" s="74">
        <f t="shared" si="1"/>
        <v>74</v>
      </c>
    </row>
    <row r="20" spans="1:21" ht="25.5" customHeight="1" thickBot="1">
      <c r="A20" s="108"/>
      <c r="B20" s="85" t="s">
        <v>68</v>
      </c>
      <c r="C20" s="86"/>
      <c r="D20" s="86">
        <v>10</v>
      </c>
      <c r="E20" s="86">
        <v>12</v>
      </c>
      <c r="F20" s="86"/>
      <c r="G20" s="86">
        <v>8</v>
      </c>
      <c r="H20" s="86">
        <v>4</v>
      </c>
      <c r="I20" s="86">
        <v>18</v>
      </c>
      <c r="J20" s="86"/>
      <c r="K20" s="86"/>
      <c r="L20" s="86">
        <v>6</v>
      </c>
      <c r="M20" s="86">
        <v>2</v>
      </c>
      <c r="N20" s="86"/>
      <c r="O20" s="86"/>
      <c r="P20" s="87"/>
      <c r="Q20" s="87"/>
      <c r="R20" s="86">
        <v>14</v>
      </c>
      <c r="S20" s="38">
        <f t="shared" si="0"/>
        <v>74</v>
      </c>
      <c r="U20" s="74">
        <f t="shared" si="1"/>
        <v>74</v>
      </c>
    </row>
    <row r="21" spans="1:21" ht="78.75" customHeight="1" thickBot="1">
      <c r="A21" s="98" t="s">
        <v>28</v>
      </c>
      <c r="B21" s="99"/>
      <c r="C21" s="12">
        <f>C20+C19+C18+C17+C16+C15+C14+C13+C12+C11+C10+C9+C8+C7+C6</f>
        <v>95</v>
      </c>
      <c r="D21" s="12">
        <f aca="true" t="shared" si="2" ref="D21:R21">D20+D19+D18+D17+D16+D15+D14+D13+D12+D11+D10+D9+D8+D7+D6</f>
        <v>116</v>
      </c>
      <c r="E21" s="12">
        <f t="shared" si="2"/>
        <v>87</v>
      </c>
      <c r="F21" s="12">
        <f t="shared" si="2"/>
        <v>40</v>
      </c>
      <c r="G21" s="12">
        <f t="shared" si="2"/>
        <v>70</v>
      </c>
      <c r="H21" s="12">
        <f t="shared" si="2"/>
        <v>23</v>
      </c>
      <c r="I21" s="12">
        <f t="shared" si="2"/>
        <v>140</v>
      </c>
      <c r="J21" s="12">
        <f t="shared" si="2"/>
        <v>51</v>
      </c>
      <c r="K21" s="12">
        <f t="shared" si="2"/>
        <v>8</v>
      </c>
      <c r="L21" s="12">
        <f t="shared" si="2"/>
        <v>90</v>
      </c>
      <c r="M21" s="12">
        <f t="shared" si="2"/>
        <v>67</v>
      </c>
      <c r="N21" s="12">
        <f t="shared" si="2"/>
        <v>0</v>
      </c>
      <c r="O21" s="12">
        <f t="shared" si="2"/>
        <v>0</v>
      </c>
      <c r="P21" s="12">
        <f t="shared" si="2"/>
        <v>0</v>
      </c>
      <c r="Q21" s="12">
        <f t="shared" si="2"/>
        <v>5</v>
      </c>
      <c r="R21" s="12">
        <f t="shared" si="2"/>
        <v>57</v>
      </c>
      <c r="U21" s="74">
        <f t="shared" si="1"/>
        <v>849</v>
      </c>
    </row>
    <row r="22" spans="1:21" ht="42.75" customHeight="1" thickBot="1">
      <c r="A22" s="100" t="s">
        <v>29</v>
      </c>
      <c r="B22" s="101"/>
      <c r="C22" s="47">
        <f>IF(C21=0,"",RANK(C21,$C$21:$R$21))</f>
        <v>3</v>
      </c>
      <c r="D22" s="47">
        <f aca="true" t="shared" si="3" ref="D22:R22">IF(D21=0,"",RANK(D21,$C$21:$R$21))</f>
        <v>2</v>
      </c>
      <c r="E22" s="47">
        <f t="shared" si="3"/>
        <v>5</v>
      </c>
      <c r="F22" s="47">
        <f t="shared" si="3"/>
        <v>10</v>
      </c>
      <c r="G22" s="47">
        <f t="shared" si="3"/>
        <v>6</v>
      </c>
      <c r="H22" s="47">
        <f t="shared" si="3"/>
        <v>11</v>
      </c>
      <c r="I22" s="47">
        <f t="shared" si="3"/>
        <v>1</v>
      </c>
      <c r="J22" s="47">
        <f t="shared" si="3"/>
        <v>9</v>
      </c>
      <c r="K22" s="47">
        <f t="shared" si="3"/>
        <v>12</v>
      </c>
      <c r="L22" s="47">
        <f t="shared" si="3"/>
        <v>4</v>
      </c>
      <c r="M22" s="47">
        <f t="shared" si="3"/>
        <v>7</v>
      </c>
      <c r="N22" s="47">
        <f t="shared" si="3"/>
      </c>
      <c r="O22" s="47">
        <f t="shared" si="3"/>
      </c>
      <c r="P22" s="47">
        <f t="shared" si="3"/>
      </c>
      <c r="Q22" s="47">
        <f t="shared" si="3"/>
        <v>13</v>
      </c>
      <c r="R22" s="47">
        <f t="shared" si="3"/>
        <v>8</v>
      </c>
      <c r="U22" s="74" t="e">
        <f t="shared" si="1"/>
        <v>#VALUE!</v>
      </c>
    </row>
    <row r="23" spans="1:21" ht="25.5" customHeight="1" thickBot="1">
      <c r="A23" s="109" t="s">
        <v>58</v>
      </c>
      <c r="B23" s="14" t="s">
        <v>14</v>
      </c>
      <c r="C23" s="48">
        <v>3</v>
      </c>
      <c r="D23" s="48"/>
      <c r="E23" s="48">
        <v>4</v>
      </c>
      <c r="F23" s="48">
        <v>6</v>
      </c>
      <c r="G23" s="48">
        <v>1</v>
      </c>
      <c r="H23" s="48"/>
      <c r="I23" s="48"/>
      <c r="J23" s="48"/>
      <c r="K23" s="48"/>
      <c r="L23" s="48">
        <v>2</v>
      </c>
      <c r="M23" s="48">
        <v>21</v>
      </c>
      <c r="N23" s="48"/>
      <c r="O23" s="48"/>
      <c r="P23" s="48"/>
      <c r="Q23" s="48"/>
      <c r="R23" s="48"/>
      <c r="S23" s="38">
        <f t="shared" si="0"/>
        <v>37</v>
      </c>
      <c r="U23" s="74">
        <f t="shared" si="1"/>
        <v>37</v>
      </c>
    </row>
    <row r="24" spans="1:21" ht="25.5" customHeight="1" thickBot="1">
      <c r="A24" s="109"/>
      <c r="B24" s="14" t="s">
        <v>15</v>
      </c>
      <c r="C24" s="48"/>
      <c r="D24" s="48">
        <v>1</v>
      </c>
      <c r="E24" s="48">
        <v>2</v>
      </c>
      <c r="F24" s="48"/>
      <c r="G24" s="48">
        <v>4</v>
      </c>
      <c r="H24" s="48"/>
      <c r="I24" s="48">
        <v>9</v>
      </c>
      <c r="J24" s="48"/>
      <c r="K24" s="49"/>
      <c r="L24" s="48"/>
      <c r="M24" s="48">
        <v>18</v>
      </c>
      <c r="N24" s="48"/>
      <c r="O24" s="48"/>
      <c r="P24" s="48"/>
      <c r="Q24" s="48">
        <v>3</v>
      </c>
      <c r="R24" s="48"/>
      <c r="S24" s="38">
        <f t="shared" si="0"/>
        <v>37</v>
      </c>
      <c r="U24" s="74">
        <f t="shared" si="1"/>
        <v>37</v>
      </c>
    </row>
    <row r="25" spans="1:21" ht="25.5" customHeight="1" thickBot="1">
      <c r="A25" s="109"/>
      <c r="B25" s="14" t="s">
        <v>16</v>
      </c>
      <c r="C25" s="48">
        <v>2</v>
      </c>
      <c r="D25" s="48">
        <v>3</v>
      </c>
      <c r="E25" s="48">
        <v>7</v>
      </c>
      <c r="F25" s="48"/>
      <c r="G25" s="48">
        <v>1</v>
      </c>
      <c r="H25" s="48"/>
      <c r="I25" s="48"/>
      <c r="J25" s="48"/>
      <c r="K25" s="49"/>
      <c r="L25" s="48"/>
      <c r="M25" s="48">
        <v>20</v>
      </c>
      <c r="N25" s="48"/>
      <c r="O25" s="48"/>
      <c r="P25" s="48"/>
      <c r="Q25" s="48">
        <v>4</v>
      </c>
      <c r="R25" s="48"/>
      <c r="S25" s="38">
        <f t="shared" si="0"/>
        <v>37</v>
      </c>
      <c r="U25" s="74">
        <f t="shared" si="1"/>
        <v>37</v>
      </c>
    </row>
    <row r="26" spans="1:21" ht="25.5" customHeight="1" thickBot="1">
      <c r="A26" s="109"/>
      <c r="B26" s="14" t="s">
        <v>17</v>
      </c>
      <c r="C26" s="48"/>
      <c r="D26" s="48"/>
      <c r="E26" s="48">
        <v>9</v>
      </c>
      <c r="F26" s="48">
        <v>9</v>
      </c>
      <c r="G26" s="48">
        <v>5</v>
      </c>
      <c r="H26" s="48"/>
      <c r="I26" s="48"/>
      <c r="J26" s="48">
        <v>7</v>
      </c>
      <c r="K26" s="49"/>
      <c r="L26" s="48"/>
      <c r="M26" s="48">
        <v>7</v>
      </c>
      <c r="N26" s="48"/>
      <c r="O26" s="48"/>
      <c r="P26" s="48"/>
      <c r="Q26" s="48"/>
      <c r="R26" s="48"/>
      <c r="S26" s="38">
        <f t="shared" si="0"/>
        <v>37</v>
      </c>
      <c r="U26" s="74">
        <f t="shared" si="1"/>
        <v>37</v>
      </c>
    </row>
    <row r="27" spans="1:21" ht="25.5" customHeight="1" thickBot="1">
      <c r="A27" s="109"/>
      <c r="B27" s="14" t="s">
        <v>18</v>
      </c>
      <c r="C27" s="48"/>
      <c r="D27" s="48"/>
      <c r="E27" s="48">
        <v>16</v>
      </c>
      <c r="F27" s="48">
        <v>7</v>
      </c>
      <c r="G27" s="48">
        <v>1</v>
      </c>
      <c r="H27" s="48"/>
      <c r="I27" s="48"/>
      <c r="J27" s="48"/>
      <c r="K27" s="48"/>
      <c r="L27" s="48"/>
      <c r="M27" s="48">
        <v>13</v>
      </c>
      <c r="N27" s="48"/>
      <c r="O27" s="48"/>
      <c r="P27" s="48"/>
      <c r="Q27" s="48"/>
      <c r="R27" s="48"/>
      <c r="S27" s="38">
        <f t="shared" si="0"/>
        <v>37</v>
      </c>
      <c r="U27" s="74">
        <f t="shared" si="1"/>
        <v>37</v>
      </c>
    </row>
    <row r="28" spans="1:21" ht="25.5" customHeight="1" thickBot="1">
      <c r="A28" s="109"/>
      <c r="B28" s="14" t="s">
        <v>19</v>
      </c>
      <c r="C28" s="48">
        <v>4</v>
      </c>
      <c r="D28" s="48">
        <v>1</v>
      </c>
      <c r="E28" s="48">
        <v>6</v>
      </c>
      <c r="F28" s="48"/>
      <c r="G28" s="48">
        <v>7</v>
      </c>
      <c r="H28" s="48"/>
      <c r="I28" s="48"/>
      <c r="J28" s="48"/>
      <c r="K28" s="49"/>
      <c r="L28" s="48">
        <v>5</v>
      </c>
      <c r="M28" s="48">
        <v>14</v>
      </c>
      <c r="N28" s="48"/>
      <c r="O28" s="48"/>
      <c r="P28" s="48"/>
      <c r="Q28" s="48"/>
      <c r="R28" s="48"/>
      <c r="S28" s="38">
        <f t="shared" si="0"/>
        <v>37</v>
      </c>
      <c r="U28" s="74">
        <f t="shared" si="1"/>
        <v>37</v>
      </c>
    </row>
    <row r="29" spans="1:21" ht="24.75" customHeight="1" thickBot="1">
      <c r="A29" s="109"/>
      <c r="B29" s="60" t="s">
        <v>100</v>
      </c>
      <c r="C29" s="48"/>
      <c r="D29" s="48"/>
      <c r="E29" s="48">
        <v>1</v>
      </c>
      <c r="F29" s="48">
        <v>17</v>
      </c>
      <c r="G29" s="48">
        <v>12</v>
      </c>
      <c r="H29" s="48"/>
      <c r="I29" s="48"/>
      <c r="J29" s="48"/>
      <c r="K29" s="49"/>
      <c r="L29" s="48">
        <v>3</v>
      </c>
      <c r="M29" s="48">
        <v>4</v>
      </c>
      <c r="N29" s="48"/>
      <c r="O29" s="48"/>
      <c r="P29" s="48"/>
      <c r="Q29" s="48"/>
      <c r="R29" s="48"/>
      <c r="S29" s="38">
        <f t="shared" si="0"/>
        <v>37</v>
      </c>
      <c r="U29" s="74">
        <f t="shared" si="1"/>
        <v>37</v>
      </c>
    </row>
    <row r="30" spans="1:21" ht="25.5" customHeight="1" thickBot="1">
      <c r="A30" s="109"/>
      <c r="B30" s="14" t="s">
        <v>21</v>
      </c>
      <c r="C30" s="48">
        <v>10</v>
      </c>
      <c r="D30" s="48"/>
      <c r="E30" s="48">
        <v>14</v>
      </c>
      <c r="F30" s="48"/>
      <c r="G30" s="48">
        <v>12</v>
      </c>
      <c r="H30" s="48"/>
      <c r="I30" s="48">
        <v>6</v>
      </c>
      <c r="J30" s="48"/>
      <c r="K30" s="49"/>
      <c r="L30" s="48">
        <v>8</v>
      </c>
      <c r="M30" s="48">
        <v>18</v>
      </c>
      <c r="N30" s="48"/>
      <c r="O30" s="48"/>
      <c r="P30" s="48"/>
      <c r="Q30" s="48">
        <v>2</v>
      </c>
      <c r="R30" s="48">
        <v>4</v>
      </c>
      <c r="S30" s="38">
        <f t="shared" si="0"/>
        <v>74</v>
      </c>
      <c r="U30" s="74">
        <f t="shared" si="1"/>
        <v>74</v>
      </c>
    </row>
    <row r="31" spans="1:21" ht="25.5" customHeight="1" thickBot="1">
      <c r="A31" s="109"/>
      <c r="B31" s="14" t="s">
        <v>22</v>
      </c>
      <c r="C31" s="48">
        <v>2</v>
      </c>
      <c r="D31" s="48">
        <v>6</v>
      </c>
      <c r="E31" s="48">
        <v>14</v>
      </c>
      <c r="F31" s="48"/>
      <c r="G31" s="48">
        <v>10</v>
      </c>
      <c r="H31" s="48"/>
      <c r="I31" s="48">
        <v>4</v>
      </c>
      <c r="J31" s="48">
        <v>8</v>
      </c>
      <c r="K31" s="49"/>
      <c r="L31" s="48">
        <v>12</v>
      </c>
      <c r="M31" s="48">
        <v>18</v>
      </c>
      <c r="N31" s="48"/>
      <c r="O31" s="48"/>
      <c r="P31" s="48"/>
      <c r="Q31" s="48"/>
      <c r="R31" s="48"/>
      <c r="S31" s="38">
        <f t="shared" si="0"/>
        <v>74</v>
      </c>
      <c r="U31" s="74">
        <f t="shared" si="1"/>
        <v>74</v>
      </c>
    </row>
    <row r="32" spans="1:21" ht="25.5" customHeight="1" thickBot="1">
      <c r="A32" s="109"/>
      <c r="B32" s="14" t="s">
        <v>23</v>
      </c>
      <c r="C32" s="48">
        <v>4</v>
      </c>
      <c r="D32" s="48">
        <v>12</v>
      </c>
      <c r="E32" s="48">
        <v>8</v>
      </c>
      <c r="F32" s="48"/>
      <c r="G32" s="48">
        <v>18</v>
      </c>
      <c r="H32" s="48"/>
      <c r="I32" s="48">
        <v>6</v>
      </c>
      <c r="J32" s="48">
        <v>2</v>
      </c>
      <c r="K32" s="49"/>
      <c r="L32" s="48">
        <v>14</v>
      </c>
      <c r="M32" s="48">
        <v>10</v>
      </c>
      <c r="N32" s="48"/>
      <c r="O32" s="48"/>
      <c r="P32" s="48"/>
      <c r="Q32" s="48"/>
      <c r="R32" s="48"/>
      <c r="S32" s="38">
        <f t="shared" si="0"/>
        <v>74</v>
      </c>
      <c r="U32" s="74">
        <f t="shared" si="1"/>
        <v>74</v>
      </c>
    </row>
    <row r="33" spans="1:21" ht="25.5" customHeight="1" thickBot="1">
      <c r="A33" s="109"/>
      <c r="B33" s="14" t="s">
        <v>24</v>
      </c>
      <c r="C33" s="48">
        <v>8</v>
      </c>
      <c r="D33" s="48">
        <v>2</v>
      </c>
      <c r="E33" s="48">
        <v>14</v>
      </c>
      <c r="F33" s="48">
        <v>4</v>
      </c>
      <c r="G33" s="48"/>
      <c r="H33" s="48"/>
      <c r="I33" s="48">
        <v>18</v>
      </c>
      <c r="J33" s="48">
        <v>6</v>
      </c>
      <c r="K33" s="49"/>
      <c r="L33" s="48">
        <v>10</v>
      </c>
      <c r="M33" s="48">
        <v>12</v>
      </c>
      <c r="N33" s="48"/>
      <c r="O33" s="48"/>
      <c r="P33" s="48"/>
      <c r="Q33" s="48"/>
      <c r="R33" s="48"/>
      <c r="S33" s="38">
        <f t="shared" si="0"/>
        <v>74</v>
      </c>
      <c r="U33" s="74">
        <f t="shared" si="1"/>
        <v>74</v>
      </c>
    </row>
    <row r="34" spans="1:21" ht="25.5" customHeight="1" thickBot="1">
      <c r="A34" s="109"/>
      <c r="B34" s="14" t="s">
        <v>25</v>
      </c>
      <c r="C34" s="48">
        <v>12</v>
      </c>
      <c r="D34" s="48"/>
      <c r="E34" s="48">
        <v>18</v>
      </c>
      <c r="F34" s="48">
        <v>10</v>
      </c>
      <c r="G34" s="48">
        <v>2</v>
      </c>
      <c r="H34" s="48"/>
      <c r="I34" s="48">
        <v>8</v>
      </c>
      <c r="J34" s="48">
        <v>4</v>
      </c>
      <c r="K34" s="49"/>
      <c r="L34" s="48">
        <v>14</v>
      </c>
      <c r="M34" s="48">
        <v>6</v>
      </c>
      <c r="N34" s="48"/>
      <c r="O34" s="48"/>
      <c r="P34" s="48"/>
      <c r="Q34" s="48"/>
      <c r="R34" s="48"/>
      <c r="S34" s="38">
        <f t="shared" si="0"/>
        <v>74</v>
      </c>
      <c r="U34" s="74">
        <f t="shared" si="1"/>
        <v>74</v>
      </c>
    </row>
    <row r="35" spans="1:21" ht="25.5" customHeight="1" thickBot="1">
      <c r="A35" s="109"/>
      <c r="B35" s="14" t="s">
        <v>26</v>
      </c>
      <c r="C35" s="48">
        <v>4</v>
      </c>
      <c r="D35" s="48">
        <v>14</v>
      </c>
      <c r="E35" s="48">
        <v>8</v>
      </c>
      <c r="F35" s="48"/>
      <c r="G35" s="48">
        <v>18</v>
      </c>
      <c r="H35" s="48"/>
      <c r="I35" s="48">
        <v>10</v>
      </c>
      <c r="J35" s="48"/>
      <c r="K35" s="49"/>
      <c r="L35" s="48">
        <v>6</v>
      </c>
      <c r="M35" s="48">
        <v>12</v>
      </c>
      <c r="N35" s="48"/>
      <c r="O35" s="48"/>
      <c r="P35" s="48"/>
      <c r="Q35" s="48"/>
      <c r="R35" s="48">
        <v>2</v>
      </c>
      <c r="S35" s="38">
        <f t="shared" si="0"/>
        <v>74</v>
      </c>
      <c r="U35" s="74">
        <f t="shared" si="1"/>
        <v>74</v>
      </c>
    </row>
    <row r="36" spans="1:21" ht="25.5" customHeight="1" thickBot="1">
      <c r="A36" s="109"/>
      <c r="B36" s="14" t="s">
        <v>27</v>
      </c>
      <c r="C36" s="48">
        <v>10</v>
      </c>
      <c r="D36" s="48"/>
      <c r="E36" s="48">
        <v>14</v>
      </c>
      <c r="F36" s="48"/>
      <c r="G36" s="48">
        <v>18</v>
      </c>
      <c r="H36" s="48"/>
      <c r="I36" s="48"/>
      <c r="J36" s="48">
        <v>6</v>
      </c>
      <c r="K36" s="49"/>
      <c r="L36" s="48">
        <v>4</v>
      </c>
      <c r="M36" s="48">
        <v>22</v>
      </c>
      <c r="N36" s="48"/>
      <c r="O36" s="48"/>
      <c r="P36" s="48"/>
      <c r="Q36" s="48"/>
      <c r="R36" s="48"/>
      <c r="S36" s="38">
        <f t="shared" si="0"/>
        <v>74</v>
      </c>
      <c r="U36" s="74">
        <f t="shared" si="1"/>
        <v>74</v>
      </c>
    </row>
    <row r="37" spans="1:21" ht="25.5" customHeight="1" thickBot="1">
      <c r="A37" s="109"/>
      <c r="B37" s="81" t="s">
        <v>68</v>
      </c>
      <c r="C37" s="82">
        <v>6</v>
      </c>
      <c r="D37" s="82">
        <v>8</v>
      </c>
      <c r="E37" s="82">
        <v>14</v>
      </c>
      <c r="F37" s="82">
        <v>2</v>
      </c>
      <c r="G37" s="82">
        <v>12</v>
      </c>
      <c r="H37" s="82"/>
      <c r="I37" s="82"/>
      <c r="J37" s="82">
        <v>4</v>
      </c>
      <c r="K37" s="83"/>
      <c r="L37" s="82">
        <v>10</v>
      </c>
      <c r="M37" s="82">
        <v>18</v>
      </c>
      <c r="N37" s="82"/>
      <c r="O37" s="84"/>
      <c r="P37" s="84"/>
      <c r="Q37" s="84"/>
      <c r="R37" s="82"/>
      <c r="S37" s="38">
        <f t="shared" si="0"/>
        <v>74</v>
      </c>
      <c r="U37" s="74">
        <f t="shared" si="1"/>
        <v>74</v>
      </c>
    </row>
    <row r="38" spans="1:21" ht="52.5" customHeight="1" thickBot="1">
      <c r="A38" s="102" t="s">
        <v>30</v>
      </c>
      <c r="B38" s="103"/>
      <c r="C38" s="12">
        <f>C37+C36+C35+C34+C33+C32+C31+C30+C29+C28+C27+C26+C25+C24+C23</f>
        <v>65</v>
      </c>
      <c r="D38" s="12">
        <f aca="true" t="shared" si="4" ref="D38:R38">D37+D36+D35+D34+D33+D32+D31+D30+D29+D28+D27+D26+D25+D24+D23</f>
        <v>47</v>
      </c>
      <c r="E38" s="12">
        <f t="shared" si="4"/>
        <v>149</v>
      </c>
      <c r="F38" s="12">
        <f t="shared" si="4"/>
        <v>55</v>
      </c>
      <c r="G38" s="12">
        <f t="shared" si="4"/>
        <v>121</v>
      </c>
      <c r="H38" s="12">
        <f t="shared" si="4"/>
        <v>0</v>
      </c>
      <c r="I38" s="12">
        <f t="shared" si="4"/>
        <v>61</v>
      </c>
      <c r="J38" s="12">
        <f t="shared" si="4"/>
        <v>37</v>
      </c>
      <c r="K38" s="12">
        <f t="shared" si="4"/>
        <v>0</v>
      </c>
      <c r="L38" s="12">
        <f t="shared" si="4"/>
        <v>88</v>
      </c>
      <c r="M38" s="12">
        <f t="shared" si="4"/>
        <v>213</v>
      </c>
      <c r="N38" s="12">
        <f t="shared" si="4"/>
        <v>0</v>
      </c>
      <c r="O38" s="12">
        <f t="shared" si="4"/>
        <v>0</v>
      </c>
      <c r="P38" s="12">
        <f t="shared" si="4"/>
        <v>0</v>
      </c>
      <c r="Q38" s="12">
        <f t="shared" si="4"/>
        <v>9</v>
      </c>
      <c r="R38" s="12">
        <f t="shared" si="4"/>
        <v>6</v>
      </c>
      <c r="U38" s="74">
        <f t="shared" si="1"/>
        <v>851</v>
      </c>
    </row>
    <row r="39" spans="1:21" ht="52.5" customHeight="1" thickBot="1">
      <c r="A39" s="104" t="s">
        <v>31</v>
      </c>
      <c r="B39" s="105"/>
      <c r="C39" s="47">
        <f>IF(C38=0,"",RANK(C38,$C$38:$R$38))</f>
        <v>5</v>
      </c>
      <c r="D39" s="47">
        <f aca="true" t="shared" si="5" ref="D39:R39">IF(D38=0,"",RANK(D38,$C$38:$R$38))</f>
        <v>8</v>
      </c>
      <c r="E39" s="47">
        <f t="shared" si="5"/>
        <v>2</v>
      </c>
      <c r="F39" s="47">
        <f t="shared" si="5"/>
        <v>7</v>
      </c>
      <c r="G39" s="47">
        <f t="shared" si="5"/>
        <v>3</v>
      </c>
      <c r="H39" s="47">
        <f t="shared" si="5"/>
      </c>
      <c r="I39" s="47">
        <f t="shared" si="5"/>
        <v>6</v>
      </c>
      <c r="J39" s="47">
        <f t="shared" si="5"/>
        <v>9</v>
      </c>
      <c r="K39" s="47">
        <f t="shared" si="5"/>
      </c>
      <c r="L39" s="47">
        <f t="shared" si="5"/>
        <v>4</v>
      </c>
      <c r="M39" s="47">
        <f t="shared" si="5"/>
        <v>1</v>
      </c>
      <c r="N39" s="47">
        <f t="shared" si="5"/>
      </c>
      <c r="O39" s="47">
        <f t="shared" si="5"/>
      </c>
      <c r="P39" s="47">
        <f t="shared" si="5"/>
      </c>
      <c r="Q39" s="47">
        <f t="shared" si="5"/>
        <v>10</v>
      </c>
      <c r="R39" s="47">
        <f t="shared" si="5"/>
        <v>11</v>
      </c>
      <c r="U39" s="74" t="e">
        <f t="shared" si="1"/>
        <v>#VALUE!</v>
      </c>
    </row>
    <row r="40" spans="1:21" s="2" customFormat="1" ht="55.5" customHeight="1" thickBot="1">
      <c r="A40" s="39" t="s">
        <v>59</v>
      </c>
      <c r="B40" s="44" t="s">
        <v>64</v>
      </c>
      <c r="C40" s="40"/>
      <c r="D40" s="40"/>
      <c r="E40" s="40"/>
      <c r="F40" s="40"/>
      <c r="G40" s="40"/>
      <c r="H40" s="40"/>
      <c r="I40" s="40"/>
      <c r="J40" s="40"/>
      <c r="K40" s="41"/>
      <c r="L40" s="40"/>
      <c r="M40" s="40"/>
      <c r="N40" s="40"/>
      <c r="O40" s="40"/>
      <c r="P40" s="40"/>
      <c r="Q40" s="40"/>
      <c r="R40" s="40"/>
      <c r="S40" s="38">
        <f t="shared" si="0"/>
        <v>0</v>
      </c>
      <c r="U40" s="74">
        <f t="shared" si="1"/>
        <v>0</v>
      </c>
    </row>
    <row r="41" spans="1:21" ht="52.5" customHeight="1" thickBot="1">
      <c r="A41" s="122" t="s">
        <v>32</v>
      </c>
      <c r="B41" s="123"/>
      <c r="C41" s="15">
        <f>C40+C38+C21</f>
        <v>160</v>
      </c>
      <c r="D41" s="15">
        <f aca="true" t="shared" si="6" ref="D41:R41">D40+D38+D21</f>
        <v>163</v>
      </c>
      <c r="E41" s="15">
        <f t="shared" si="6"/>
        <v>236</v>
      </c>
      <c r="F41" s="15">
        <f t="shared" si="6"/>
        <v>95</v>
      </c>
      <c r="G41" s="15">
        <f t="shared" si="6"/>
        <v>191</v>
      </c>
      <c r="H41" s="15">
        <f t="shared" si="6"/>
        <v>23</v>
      </c>
      <c r="I41" s="15">
        <f t="shared" si="6"/>
        <v>201</v>
      </c>
      <c r="J41" s="15">
        <f t="shared" si="6"/>
        <v>88</v>
      </c>
      <c r="K41" s="15">
        <f t="shared" si="6"/>
        <v>8</v>
      </c>
      <c r="L41" s="15">
        <f t="shared" si="6"/>
        <v>178</v>
      </c>
      <c r="M41" s="15">
        <f t="shared" si="6"/>
        <v>280</v>
      </c>
      <c r="N41" s="15">
        <f t="shared" si="6"/>
        <v>0</v>
      </c>
      <c r="O41" s="15">
        <f t="shared" si="6"/>
        <v>0</v>
      </c>
      <c r="P41" s="15">
        <f t="shared" si="6"/>
        <v>0</v>
      </c>
      <c r="Q41" s="15">
        <f t="shared" si="6"/>
        <v>14</v>
      </c>
      <c r="R41" s="15">
        <f t="shared" si="6"/>
        <v>63</v>
      </c>
      <c r="U41" s="74">
        <f t="shared" si="1"/>
        <v>1700</v>
      </c>
    </row>
    <row r="42" spans="1:21" ht="52.5" customHeight="1" thickBot="1">
      <c r="A42" s="92" t="s">
        <v>33</v>
      </c>
      <c r="B42" s="93"/>
      <c r="C42" s="46">
        <f>IF(C41=0,"",RANK(C41,$C$41:$R$41))</f>
        <v>7</v>
      </c>
      <c r="D42" s="46">
        <f aca="true" t="shared" si="7" ref="D42:R42">IF(D41=0,"",RANK(D41,$C$41:$R$41))</f>
        <v>6</v>
      </c>
      <c r="E42" s="46">
        <f t="shared" si="7"/>
        <v>2</v>
      </c>
      <c r="F42" s="46">
        <f t="shared" si="7"/>
        <v>8</v>
      </c>
      <c r="G42" s="46">
        <f t="shared" si="7"/>
        <v>4</v>
      </c>
      <c r="H42" s="46">
        <f t="shared" si="7"/>
        <v>11</v>
      </c>
      <c r="I42" s="46">
        <f t="shared" si="7"/>
        <v>3</v>
      </c>
      <c r="J42" s="46">
        <f t="shared" si="7"/>
        <v>9</v>
      </c>
      <c r="K42" s="46">
        <f t="shared" si="7"/>
        <v>13</v>
      </c>
      <c r="L42" s="46">
        <f t="shared" si="7"/>
        <v>5</v>
      </c>
      <c r="M42" s="46">
        <f t="shared" si="7"/>
        <v>1</v>
      </c>
      <c r="N42" s="46">
        <f t="shared" si="7"/>
      </c>
      <c r="O42" s="46">
        <f t="shared" si="7"/>
      </c>
      <c r="P42" s="46">
        <f t="shared" si="7"/>
      </c>
      <c r="Q42" s="46">
        <f t="shared" si="7"/>
        <v>12</v>
      </c>
      <c r="R42" s="46">
        <f t="shared" si="7"/>
        <v>10</v>
      </c>
      <c r="U42" s="74" t="e">
        <f t="shared" si="1"/>
        <v>#VALUE!</v>
      </c>
    </row>
    <row r="43" spans="1:21" ht="52.5" customHeight="1" thickBot="1">
      <c r="A43" s="94" t="s">
        <v>34</v>
      </c>
      <c r="B43" s="95"/>
      <c r="C43" s="16">
        <f>IF(C42&gt;8,0,LOOKUP(C42,{1,2,3,4,5,6,7,8},{27,21,18,15,12,9,6,3}))</f>
        <v>6</v>
      </c>
      <c r="D43" s="16">
        <f>IF(D42&gt;8,0,LOOKUP(D42,{1,2,3,4,5,6,7,8},{27,21,18,15,12,9,6,3}))</f>
        <v>9</v>
      </c>
      <c r="E43" s="16">
        <f>IF(E42&gt;8,0,LOOKUP(E42,{1,2,3,4,5,6,7,8},{27,21,18,15,12,9,6,3}))</f>
        <v>21</v>
      </c>
      <c r="F43" s="16">
        <f>IF(F42&gt;8,0,LOOKUP(F42,{1,2,3,4,5,6,7,8},{27,21,18,15,12,9,6,3}))</f>
        <v>3</v>
      </c>
      <c r="G43" s="16">
        <f>IF(G42&gt;8,0,LOOKUP(G42,{1,2,3,4,5,6,7,8},{27,21,18,15,12,9,6,3}))</f>
        <v>15</v>
      </c>
      <c r="H43" s="16">
        <f>IF(H42&gt;8,0,LOOKUP(H42,{1,2,3,4,5,6,7,8},{27,21,18,15,12,9,6,3}))</f>
        <v>0</v>
      </c>
      <c r="I43" s="16">
        <f>IF(I42&gt;8,0,LOOKUP(I42,{1,2,3,4,5,6,7,8},{27,21,18,15,12,9,6,3}))</f>
        <v>18</v>
      </c>
      <c r="J43" s="16">
        <f>IF(J42&gt;8,0,LOOKUP(J42,{1,2,3,4,5,6,7,8},{27,21,18,15,12,9,6,3}))</f>
        <v>0</v>
      </c>
      <c r="K43" s="16">
        <f>IF(K42&gt;8,0,LOOKUP(K42,{1,2,3,4,5,6,7,8},{27,21,18,15,12,9,6,3}))</f>
        <v>0</v>
      </c>
      <c r="L43" s="16">
        <f>IF(L42&gt;8,0,LOOKUP(L42,{1,2,3,4,5,6,7,8},{27,21,18,15,12,9,6,3}))</f>
        <v>12</v>
      </c>
      <c r="M43" s="16">
        <f>IF(M42&gt;8,0,LOOKUP(M42,{1,2,3,4,5,6,7,8},{27,21,18,15,12,9,6,3}))</f>
        <v>27</v>
      </c>
      <c r="N43" s="16">
        <f>IF(N42&gt;8,0,LOOKUP(N42,{1,2,3,4,5,6,7,8},{27,21,18,15,12,9,6,3}))</f>
        <v>0</v>
      </c>
      <c r="O43" s="16">
        <f>IF(O42&gt;8,0,LOOKUP(O42,{1,2,3,4,5,6,7,8},{27,21,18,15,12,9,6,3}))</f>
        <v>0</v>
      </c>
      <c r="P43" s="16">
        <f>IF(P42&gt;8,0,LOOKUP(P42,{1,2,3,4,5,6,7,8},{27,21,18,15,12,9,6,3}))</f>
        <v>0</v>
      </c>
      <c r="Q43" s="16">
        <f>IF(Q42&gt;8,0,LOOKUP(Q42,{1,2,3,4,5,6,7,8},{27,21,18,15,12,9,6,3}))</f>
        <v>0</v>
      </c>
      <c r="R43" s="16">
        <f>IF(R42&gt;8,0,LOOKUP(R42,{1,2,3,4,5,6,7,8},{27,21,18,15,12,9,6,3}))</f>
        <v>0</v>
      </c>
      <c r="U43" s="74">
        <f t="shared" si="1"/>
        <v>111</v>
      </c>
    </row>
    <row r="44" spans="1:21" ht="25.5" customHeight="1" thickBot="1">
      <c r="A44" s="110" t="s">
        <v>35</v>
      </c>
      <c r="B44" s="17" t="s">
        <v>36</v>
      </c>
      <c r="C44" s="18"/>
      <c r="D44" s="18"/>
      <c r="E44" s="18"/>
      <c r="F44" s="18">
        <v>3</v>
      </c>
      <c r="G44" s="18">
        <v>7</v>
      </c>
      <c r="H44" s="18">
        <v>4</v>
      </c>
      <c r="I44" s="18">
        <v>5</v>
      </c>
      <c r="J44" s="18"/>
      <c r="K44" s="18"/>
      <c r="L44" s="18">
        <v>9</v>
      </c>
      <c r="M44" s="18">
        <v>6</v>
      </c>
      <c r="N44" s="18"/>
      <c r="O44" s="18"/>
      <c r="P44" s="18"/>
      <c r="Q44" s="18"/>
      <c r="R44" s="18"/>
      <c r="S44" s="38">
        <f t="shared" si="0"/>
        <v>34</v>
      </c>
      <c r="U44" s="74">
        <f t="shared" si="1"/>
        <v>34</v>
      </c>
    </row>
    <row r="45" spans="1:21" ht="25.5" customHeight="1" thickBot="1">
      <c r="A45" s="111"/>
      <c r="B45" s="19" t="s">
        <v>51</v>
      </c>
      <c r="C45" s="18">
        <v>3</v>
      </c>
      <c r="D45" s="18">
        <v>6</v>
      </c>
      <c r="E45" s="18"/>
      <c r="F45" s="18"/>
      <c r="G45" s="18">
        <v>9</v>
      </c>
      <c r="H45" s="18"/>
      <c r="I45" s="18">
        <v>7</v>
      </c>
      <c r="J45" s="18">
        <v>4</v>
      </c>
      <c r="K45" s="18"/>
      <c r="L45" s="18">
        <v>5</v>
      </c>
      <c r="M45" s="18">
        <v>2</v>
      </c>
      <c r="N45" s="18"/>
      <c r="O45" s="18"/>
      <c r="P45" s="18"/>
      <c r="Q45" s="18"/>
      <c r="R45" s="18"/>
      <c r="S45" s="38">
        <f t="shared" si="0"/>
        <v>36</v>
      </c>
      <c r="U45" s="74">
        <f t="shared" si="1"/>
        <v>36</v>
      </c>
    </row>
    <row r="46" spans="1:21" ht="25.5" customHeight="1" thickBot="1">
      <c r="A46" s="111"/>
      <c r="B46" s="17" t="s">
        <v>37</v>
      </c>
      <c r="C46" s="18">
        <v>4</v>
      </c>
      <c r="D46" s="18"/>
      <c r="E46" s="18">
        <v>1</v>
      </c>
      <c r="F46" s="18"/>
      <c r="G46" s="18">
        <v>5</v>
      </c>
      <c r="H46" s="18">
        <v>2</v>
      </c>
      <c r="I46" s="18">
        <v>7</v>
      </c>
      <c r="J46" s="18">
        <v>9</v>
      </c>
      <c r="K46" s="18"/>
      <c r="L46" s="18">
        <v>3</v>
      </c>
      <c r="M46" s="18">
        <v>6</v>
      </c>
      <c r="N46" s="18"/>
      <c r="O46" s="18"/>
      <c r="P46" s="18"/>
      <c r="Q46" s="18"/>
      <c r="R46" s="18"/>
      <c r="S46" s="38">
        <f t="shared" si="0"/>
        <v>37</v>
      </c>
      <c r="U46" s="74">
        <f t="shared" si="1"/>
        <v>37</v>
      </c>
    </row>
    <row r="47" spans="1:21" ht="25.5" customHeight="1" thickBot="1">
      <c r="A47" s="111"/>
      <c r="B47" s="20" t="s">
        <v>52</v>
      </c>
      <c r="C47" s="18">
        <v>3</v>
      </c>
      <c r="D47" s="18"/>
      <c r="E47" s="18"/>
      <c r="F47" s="18"/>
      <c r="G47" s="18">
        <v>5</v>
      </c>
      <c r="H47" s="18">
        <v>1</v>
      </c>
      <c r="I47" s="18">
        <v>9</v>
      </c>
      <c r="J47" s="18">
        <v>7</v>
      </c>
      <c r="K47" s="18"/>
      <c r="L47" s="18">
        <v>6</v>
      </c>
      <c r="M47" s="18">
        <v>2</v>
      </c>
      <c r="N47" s="18"/>
      <c r="O47" s="18"/>
      <c r="P47" s="18"/>
      <c r="Q47" s="18">
        <v>4</v>
      </c>
      <c r="R47" s="18"/>
      <c r="S47" s="38">
        <f t="shared" si="0"/>
        <v>37</v>
      </c>
      <c r="U47" s="74">
        <f t="shared" si="1"/>
        <v>37</v>
      </c>
    </row>
    <row r="48" spans="1:21" ht="25.5" customHeight="1" thickBot="1">
      <c r="A48" s="111"/>
      <c r="B48" s="36" t="s">
        <v>53</v>
      </c>
      <c r="C48" s="18"/>
      <c r="D48" s="18">
        <v>7</v>
      </c>
      <c r="E48" s="18">
        <v>9</v>
      </c>
      <c r="F48" s="18"/>
      <c r="G48" s="18"/>
      <c r="H48" s="18">
        <v>1</v>
      </c>
      <c r="I48" s="18">
        <v>5</v>
      </c>
      <c r="J48" s="18">
        <v>3</v>
      </c>
      <c r="K48" s="18">
        <v>6</v>
      </c>
      <c r="L48" s="18">
        <v>2</v>
      </c>
      <c r="M48" s="18">
        <v>4</v>
      </c>
      <c r="N48" s="18"/>
      <c r="O48" s="18"/>
      <c r="P48" s="18"/>
      <c r="Q48" s="18"/>
      <c r="R48" s="18"/>
      <c r="S48" s="38">
        <f t="shared" si="0"/>
        <v>37</v>
      </c>
      <c r="U48" s="74">
        <f t="shared" si="1"/>
        <v>37</v>
      </c>
    </row>
    <row r="49" spans="1:21" ht="25.5" customHeight="1" thickBot="1">
      <c r="A49" s="111"/>
      <c r="B49" s="17" t="s">
        <v>40</v>
      </c>
      <c r="C49" s="18">
        <v>4</v>
      </c>
      <c r="D49" s="18"/>
      <c r="E49" s="18">
        <v>6</v>
      </c>
      <c r="F49" s="18"/>
      <c r="G49" s="18">
        <v>5</v>
      </c>
      <c r="H49" s="18">
        <v>1</v>
      </c>
      <c r="I49" s="18">
        <v>3</v>
      </c>
      <c r="J49" s="18">
        <v>9</v>
      </c>
      <c r="K49" s="18"/>
      <c r="L49" s="18">
        <v>7</v>
      </c>
      <c r="M49" s="18">
        <v>2</v>
      </c>
      <c r="N49" s="18"/>
      <c r="O49" s="18"/>
      <c r="P49" s="18"/>
      <c r="Q49" s="18"/>
      <c r="R49" s="18"/>
      <c r="S49" s="38">
        <f t="shared" si="0"/>
        <v>37</v>
      </c>
      <c r="U49" s="74">
        <f t="shared" si="1"/>
        <v>37</v>
      </c>
    </row>
    <row r="50" spans="1:21" ht="25.5" customHeight="1" thickBot="1">
      <c r="A50" s="111"/>
      <c r="B50" s="17" t="s">
        <v>39</v>
      </c>
      <c r="C50" s="18"/>
      <c r="D50" s="18"/>
      <c r="E50" s="18"/>
      <c r="F50" s="18">
        <v>2</v>
      </c>
      <c r="G50" s="18">
        <v>9</v>
      </c>
      <c r="H50" s="18">
        <v>5</v>
      </c>
      <c r="I50" s="18">
        <v>4</v>
      </c>
      <c r="J50" s="18">
        <v>7</v>
      </c>
      <c r="K50" s="18">
        <v>3</v>
      </c>
      <c r="L50" s="18">
        <v>6</v>
      </c>
      <c r="M50" s="18">
        <v>1</v>
      </c>
      <c r="N50" s="18"/>
      <c r="O50" s="18"/>
      <c r="P50" s="18"/>
      <c r="Q50" s="18"/>
      <c r="R50" s="18"/>
      <c r="S50" s="38">
        <f t="shared" si="0"/>
        <v>37</v>
      </c>
      <c r="U50" s="74">
        <f t="shared" si="1"/>
        <v>37</v>
      </c>
    </row>
    <row r="51" spans="1:21" ht="25.5" customHeight="1" thickBot="1">
      <c r="A51" s="111"/>
      <c r="B51" s="21" t="s">
        <v>38</v>
      </c>
      <c r="C51" s="37"/>
      <c r="D51" s="18">
        <v>4</v>
      </c>
      <c r="E51" s="18">
        <v>7</v>
      </c>
      <c r="F51" s="18"/>
      <c r="G51" s="18">
        <v>9</v>
      </c>
      <c r="H51" s="18"/>
      <c r="I51" s="18">
        <v>6</v>
      </c>
      <c r="J51" s="18"/>
      <c r="K51" s="18"/>
      <c r="L51" s="18"/>
      <c r="M51" s="18">
        <v>5</v>
      </c>
      <c r="N51" s="18"/>
      <c r="O51" s="18">
        <v>3</v>
      </c>
      <c r="P51" s="18"/>
      <c r="Q51" s="18"/>
      <c r="R51" s="18"/>
      <c r="S51" s="38">
        <f t="shared" si="0"/>
        <v>34</v>
      </c>
      <c r="U51" s="74">
        <f t="shared" si="1"/>
        <v>34</v>
      </c>
    </row>
    <row r="52" spans="1:21" ht="25.5" customHeight="1" thickBot="1">
      <c r="A52" s="111"/>
      <c r="B52" s="22" t="s">
        <v>41</v>
      </c>
      <c r="C52" s="18"/>
      <c r="D52" s="18"/>
      <c r="E52" s="18"/>
      <c r="F52" s="18"/>
      <c r="G52" s="18"/>
      <c r="H52" s="18"/>
      <c r="I52" s="18"/>
      <c r="J52" s="18"/>
      <c r="K52" s="18"/>
      <c r="L52" s="18"/>
      <c r="M52" s="18"/>
      <c r="N52" s="18"/>
      <c r="O52" s="18"/>
      <c r="P52" s="18"/>
      <c r="Q52" s="18"/>
      <c r="R52" s="18"/>
      <c r="S52" s="38">
        <f t="shared" si="0"/>
        <v>0</v>
      </c>
      <c r="U52" s="74">
        <f t="shared" si="1"/>
        <v>0</v>
      </c>
    </row>
    <row r="53" spans="1:21" ht="25.5" customHeight="1" thickBot="1">
      <c r="A53" s="111"/>
      <c r="B53" s="36"/>
      <c r="C53" s="9"/>
      <c r="D53" s="9"/>
      <c r="E53" s="9"/>
      <c r="F53" s="9"/>
      <c r="G53" s="9"/>
      <c r="H53" s="9"/>
      <c r="I53" s="9"/>
      <c r="J53" s="9"/>
      <c r="K53" s="9"/>
      <c r="L53" s="9"/>
      <c r="M53" s="9"/>
      <c r="N53" s="9"/>
      <c r="O53" s="9"/>
      <c r="P53" s="9"/>
      <c r="Q53" s="9"/>
      <c r="R53" s="9"/>
      <c r="S53" s="38">
        <f t="shared" si="0"/>
        <v>0</v>
      </c>
      <c r="U53" s="74">
        <f t="shared" si="1"/>
        <v>0</v>
      </c>
    </row>
    <row r="54" spans="1:21" ht="25.5" customHeight="1" thickBot="1">
      <c r="A54" s="111"/>
      <c r="B54" s="36" t="s">
        <v>54</v>
      </c>
      <c r="C54" s="18">
        <v>2</v>
      </c>
      <c r="D54" s="18"/>
      <c r="E54" s="18">
        <v>9</v>
      </c>
      <c r="F54" s="18">
        <v>1</v>
      </c>
      <c r="G54" s="18">
        <v>3</v>
      </c>
      <c r="H54" s="18"/>
      <c r="I54" s="18">
        <v>6</v>
      </c>
      <c r="J54" s="18">
        <v>7</v>
      </c>
      <c r="K54" s="18"/>
      <c r="L54" s="18">
        <v>5</v>
      </c>
      <c r="M54" s="18">
        <v>4</v>
      </c>
      <c r="N54" s="18"/>
      <c r="O54" s="18"/>
      <c r="P54" s="18"/>
      <c r="Q54" s="18"/>
      <c r="R54" s="18"/>
      <c r="S54" s="38">
        <f t="shared" si="0"/>
        <v>37</v>
      </c>
      <c r="U54" s="74">
        <f t="shared" si="1"/>
        <v>37</v>
      </c>
    </row>
    <row r="55" spans="1:21" ht="25.5" customHeight="1" thickBot="1">
      <c r="A55" s="23"/>
      <c r="B55" s="36" t="s">
        <v>55</v>
      </c>
      <c r="C55" s="18">
        <v>6</v>
      </c>
      <c r="D55" s="18"/>
      <c r="E55" s="18">
        <v>1</v>
      </c>
      <c r="F55" s="18"/>
      <c r="G55" s="18">
        <v>2</v>
      </c>
      <c r="H55" s="18"/>
      <c r="I55" s="18">
        <v>4</v>
      </c>
      <c r="J55" s="18">
        <v>9</v>
      </c>
      <c r="K55" s="18"/>
      <c r="L55" s="18">
        <v>3</v>
      </c>
      <c r="M55" s="18">
        <v>7</v>
      </c>
      <c r="N55" s="18"/>
      <c r="O55" s="18"/>
      <c r="P55" s="18"/>
      <c r="Q55" s="18">
        <v>5</v>
      </c>
      <c r="R55" s="18"/>
      <c r="S55" s="38">
        <f t="shared" si="0"/>
        <v>37</v>
      </c>
      <c r="U55" s="74">
        <f t="shared" si="1"/>
        <v>37</v>
      </c>
    </row>
    <row r="56" spans="1:21" ht="25.5" customHeight="1" thickBot="1">
      <c r="A56" s="23"/>
      <c r="B56" s="36"/>
      <c r="C56" s="18"/>
      <c r="D56" s="18"/>
      <c r="E56" s="18"/>
      <c r="F56" s="18"/>
      <c r="G56" s="18"/>
      <c r="H56" s="18"/>
      <c r="I56" s="18"/>
      <c r="J56" s="18"/>
      <c r="K56" s="18"/>
      <c r="L56" s="18"/>
      <c r="M56" s="18"/>
      <c r="N56" s="18"/>
      <c r="O56" s="18"/>
      <c r="P56" s="18"/>
      <c r="Q56" s="18"/>
      <c r="R56" s="18"/>
      <c r="U56" s="74">
        <f t="shared" si="1"/>
        <v>0</v>
      </c>
    </row>
    <row r="57" spans="1:21" ht="25.5" customHeight="1" thickBot="1">
      <c r="A57" s="23"/>
      <c r="B57" s="21"/>
      <c r="C57" s="18"/>
      <c r="D57" s="18"/>
      <c r="E57" s="18"/>
      <c r="F57" s="18"/>
      <c r="G57" s="18"/>
      <c r="H57" s="18"/>
      <c r="I57" s="18"/>
      <c r="J57" s="18"/>
      <c r="K57" s="18"/>
      <c r="L57" s="18"/>
      <c r="M57" s="18"/>
      <c r="N57" s="18"/>
      <c r="O57" s="18"/>
      <c r="P57" s="18"/>
      <c r="Q57" s="18"/>
      <c r="R57" s="18"/>
      <c r="U57" s="74">
        <f t="shared" si="1"/>
        <v>0</v>
      </c>
    </row>
    <row r="58" spans="1:21" s="1" customFormat="1" ht="54.75" customHeight="1" thickBot="1">
      <c r="A58" s="96" t="s">
        <v>42</v>
      </c>
      <c r="B58" s="97"/>
      <c r="C58" s="12">
        <f>C56+C55+C54+C53+C52+C51+C50+C49+C48+C47+C46+C45+C44</f>
        <v>22</v>
      </c>
      <c r="D58" s="12">
        <f aca="true" t="shared" si="8" ref="D58:R58">D56+D55+D54+D53+D52+D51+D50+D49+D48+D47+D46+D45+D44</f>
        <v>17</v>
      </c>
      <c r="E58" s="12">
        <f t="shared" si="8"/>
        <v>33</v>
      </c>
      <c r="F58" s="12">
        <f t="shared" si="8"/>
        <v>6</v>
      </c>
      <c r="G58" s="12">
        <f t="shared" si="8"/>
        <v>54</v>
      </c>
      <c r="H58" s="12">
        <f t="shared" si="8"/>
        <v>14</v>
      </c>
      <c r="I58" s="12">
        <f t="shared" si="8"/>
        <v>56</v>
      </c>
      <c r="J58" s="12">
        <f t="shared" si="8"/>
        <v>55</v>
      </c>
      <c r="K58" s="12">
        <f t="shared" si="8"/>
        <v>9</v>
      </c>
      <c r="L58" s="12">
        <f t="shared" si="8"/>
        <v>46</v>
      </c>
      <c r="M58" s="12">
        <f t="shared" si="8"/>
        <v>39</v>
      </c>
      <c r="N58" s="12">
        <f t="shared" si="8"/>
        <v>0</v>
      </c>
      <c r="O58" s="12">
        <f t="shared" si="8"/>
        <v>3</v>
      </c>
      <c r="P58" s="12">
        <f t="shared" si="8"/>
        <v>0</v>
      </c>
      <c r="Q58" s="12">
        <f t="shared" si="8"/>
        <v>9</v>
      </c>
      <c r="R58" s="12">
        <f t="shared" si="8"/>
        <v>0</v>
      </c>
      <c r="S58" s="38"/>
      <c r="U58" s="74">
        <f t="shared" si="1"/>
        <v>363</v>
      </c>
    </row>
    <row r="59" spans="1:21" ht="54.75" customHeight="1" thickBot="1">
      <c r="A59" s="116" t="s">
        <v>43</v>
      </c>
      <c r="B59" s="117"/>
      <c r="C59" s="13">
        <f>IF(C58=0,"",RANK(C58,$C$58:$R$58))</f>
        <v>7</v>
      </c>
      <c r="D59" s="13">
        <f>IF(D58=0,"",RANK(D58,$C$58:$R$58))</f>
        <v>8</v>
      </c>
      <c r="E59" s="13">
        <f aca="true" t="shared" si="9" ref="E59:R59">IF(E58=0,"",RANK(E58,$C$58:$R$58))</f>
        <v>6</v>
      </c>
      <c r="F59" s="13">
        <f t="shared" si="9"/>
        <v>12</v>
      </c>
      <c r="G59" s="13">
        <f t="shared" si="9"/>
        <v>3</v>
      </c>
      <c r="H59" s="13">
        <f t="shared" si="9"/>
        <v>9</v>
      </c>
      <c r="I59" s="13">
        <f t="shared" si="9"/>
        <v>1</v>
      </c>
      <c r="J59" s="13">
        <f t="shared" si="9"/>
        <v>2</v>
      </c>
      <c r="K59" s="13">
        <f t="shared" si="9"/>
        <v>10</v>
      </c>
      <c r="L59" s="13">
        <f t="shared" si="9"/>
        <v>4</v>
      </c>
      <c r="M59" s="13">
        <f t="shared" si="9"/>
        <v>5</v>
      </c>
      <c r="N59" s="13">
        <f t="shared" si="9"/>
      </c>
      <c r="O59" s="13">
        <f t="shared" si="9"/>
        <v>13</v>
      </c>
      <c r="P59" s="13">
        <f t="shared" si="9"/>
      </c>
      <c r="Q59" s="13">
        <f t="shared" si="9"/>
        <v>10</v>
      </c>
      <c r="R59" s="13">
        <f t="shared" si="9"/>
      </c>
      <c r="U59" s="74" t="e">
        <f t="shared" si="1"/>
        <v>#VALUE!</v>
      </c>
    </row>
    <row r="60" spans="1:21" ht="36" customHeight="1" thickBot="1">
      <c r="A60" s="94" t="s">
        <v>44</v>
      </c>
      <c r="B60" s="95"/>
      <c r="C60" s="24">
        <f>IF(C59&gt;8,0,LOOKUP(C59,{1,2,3,4,5,6,7,8},{18,14,12,10,8,6,4,2}))</f>
        <v>4</v>
      </c>
      <c r="D60" s="24">
        <f>IF(D59&gt;8,0,LOOKUP(D59,{1,2,3,4,5,6,7,8},{18,14,12,10,8,6,4,2}))</f>
        <v>2</v>
      </c>
      <c r="E60" s="24">
        <f>IF(E59&gt;8,0,LOOKUP(E59,{1,2,3,4,5,6,7,8},{18,14,12,10,8,6,4,2}))</f>
        <v>6</v>
      </c>
      <c r="F60" s="24">
        <f>IF(F59&gt;8,0,LOOKUP(F59,{1,2,3,4,5,6,7,8},{18,14,12,10,8,6,4,2}))</f>
        <v>0</v>
      </c>
      <c r="G60" s="24">
        <f>IF(G59&gt;8,0,LOOKUP(G59,{1,2,3,4,5,6,7,8},{18,14,12,10,8,6,4,2}))</f>
        <v>12</v>
      </c>
      <c r="H60" s="24">
        <f>IF(H59&gt;8,0,LOOKUP(H59,{1,2,3,4,5,6,7,8},{18,14,12,10,8,6,4,2}))</f>
        <v>0</v>
      </c>
      <c r="I60" s="24">
        <f>IF(I59&gt;8,0,LOOKUP(I59,{1,2,3,4,5,6,7,8},{18,14,12,10,8,6,4,2}))</f>
        <v>18</v>
      </c>
      <c r="J60" s="24">
        <f>IF(J59&gt;8,0,LOOKUP(J59,{1,2,3,4,5,6,7,8},{18,14,12,10,8,6,4,2}))</f>
        <v>14</v>
      </c>
      <c r="K60" s="24">
        <f>IF(K59&gt;8,0,LOOKUP(K59,{1,2,3,4,5,6,7,8},{18,14,12,10,8,6,4,2}))</f>
        <v>0</v>
      </c>
      <c r="L60" s="24">
        <f>IF(L59&gt;8,0,LOOKUP(L59,{1,2,3,4,5,6,7,8},{18,14,12,10,8,6,4,2}))</f>
        <v>10</v>
      </c>
      <c r="M60" s="24">
        <f>IF(M59&gt;8,0,LOOKUP(M59,{1,2,3,4,5,6,7,8},{18,14,12,10,8,6,4,2}))</f>
        <v>8</v>
      </c>
      <c r="N60" s="24">
        <f>IF(N59&gt;8,0,LOOKUP(N59,{1,2,3,4,5,6,7,8},{18,14,12,10,8,6,4,2}))</f>
        <v>0</v>
      </c>
      <c r="O60" s="24">
        <f>IF(O59&gt;8,0,LOOKUP(O59,{1,2,3,4,5,6,7,8},{18,14,12,10,8,6,4,2}))</f>
        <v>0</v>
      </c>
      <c r="P60" s="24">
        <f>IF(P59&gt;8,0,LOOKUP(P59,{1,2,3,4,5,6,7,8},{18,14,12,10,8,6,4,2}))</f>
        <v>0</v>
      </c>
      <c r="Q60" s="24">
        <f>IF(Q59&gt;8,0,LOOKUP(Q59,{1,2,3,4,5,6,7,8},{18,14,12,10,8,6,4,2}))</f>
        <v>0</v>
      </c>
      <c r="R60" s="24">
        <f>IF(R59&gt;8,0,LOOKUP(R59,{1,2,3,4,5,6,7,8},{18,14,12,10,8,6,4,2}))</f>
        <v>0</v>
      </c>
      <c r="U60" s="74">
        <f t="shared" si="1"/>
        <v>74</v>
      </c>
    </row>
    <row r="61" spans="1:21" ht="26.25" customHeight="1" thickBot="1">
      <c r="A61" s="112" t="s">
        <v>45</v>
      </c>
      <c r="B61" s="25"/>
      <c r="C61" s="26"/>
      <c r="D61" s="26"/>
      <c r="E61" s="26"/>
      <c r="F61" s="26"/>
      <c r="G61" s="26"/>
      <c r="H61" s="26"/>
      <c r="I61" s="26"/>
      <c r="J61" s="26"/>
      <c r="K61" s="26"/>
      <c r="L61" s="26"/>
      <c r="M61" s="26"/>
      <c r="N61" s="26"/>
      <c r="O61" s="26"/>
      <c r="P61" s="26"/>
      <c r="Q61" s="26"/>
      <c r="R61" s="26"/>
      <c r="U61" s="74">
        <f t="shared" si="1"/>
        <v>0</v>
      </c>
    </row>
    <row r="62" spans="1:21" ht="25.5" customHeight="1" thickBot="1">
      <c r="A62" s="113"/>
      <c r="B62" s="51" t="s">
        <v>70</v>
      </c>
      <c r="C62" s="26">
        <v>9</v>
      </c>
      <c r="D62" s="26"/>
      <c r="E62" s="26"/>
      <c r="F62" s="26">
        <v>7</v>
      </c>
      <c r="G62" s="26">
        <v>4</v>
      </c>
      <c r="H62" s="26">
        <v>2</v>
      </c>
      <c r="I62" s="26">
        <v>3</v>
      </c>
      <c r="J62" s="26">
        <v>6</v>
      </c>
      <c r="K62" s="26">
        <v>1</v>
      </c>
      <c r="L62" s="26"/>
      <c r="M62" s="26">
        <v>5</v>
      </c>
      <c r="N62" s="26"/>
      <c r="O62" s="26"/>
      <c r="P62" s="26"/>
      <c r="Q62" s="26"/>
      <c r="R62" s="26"/>
      <c r="S62" s="38">
        <f>R62+Q62+P62+O62+N62+M62+L62+K62+J62+I62+H62+G62+F62+E62+D62+C62</f>
        <v>37</v>
      </c>
      <c r="U62" s="74">
        <f t="shared" si="1"/>
        <v>37</v>
      </c>
    </row>
    <row r="63" spans="1:21" ht="25.5" customHeight="1" thickBot="1">
      <c r="A63" s="113"/>
      <c r="B63" s="27" t="s">
        <v>46</v>
      </c>
      <c r="C63" s="26">
        <v>3</v>
      </c>
      <c r="D63" s="72">
        <v>1</v>
      </c>
      <c r="E63" s="26">
        <v>5</v>
      </c>
      <c r="F63" s="26"/>
      <c r="G63" s="26"/>
      <c r="H63" s="26">
        <v>9</v>
      </c>
      <c r="I63" s="26">
        <v>7</v>
      </c>
      <c r="J63" s="26">
        <v>6</v>
      </c>
      <c r="K63" s="26">
        <v>4</v>
      </c>
      <c r="L63" s="26">
        <v>2</v>
      </c>
      <c r="M63" s="26"/>
      <c r="N63" s="26"/>
      <c r="O63" s="26"/>
      <c r="P63" s="26"/>
      <c r="Q63" s="26"/>
      <c r="R63" s="26"/>
      <c r="S63" s="38">
        <f aca="true" t="shared" si="10" ref="S63:S72">R63+Q63+P63+O63+N63+M63+L63+K63+J63+I63+H63+G63+F63+E63+D63+C63</f>
        <v>37</v>
      </c>
      <c r="U63" s="74">
        <f t="shared" si="1"/>
        <v>37</v>
      </c>
    </row>
    <row r="64" spans="1:21" ht="25.5" customHeight="1" thickBot="1">
      <c r="A64" s="113"/>
      <c r="B64" s="51" t="s">
        <v>69</v>
      </c>
      <c r="C64" s="26"/>
      <c r="D64" s="26"/>
      <c r="E64" s="26">
        <v>5</v>
      </c>
      <c r="F64" s="26">
        <v>7</v>
      </c>
      <c r="G64" s="26">
        <v>9</v>
      </c>
      <c r="H64" s="26"/>
      <c r="I64" s="26">
        <v>2</v>
      </c>
      <c r="J64" s="26"/>
      <c r="K64" s="26">
        <v>1</v>
      </c>
      <c r="L64" s="26">
        <v>4</v>
      </c>
      <c r="M64" s="26"/>
      <c r="N64" s="26">
        <v>6</v>
      </c>
      <c r="O64" s="26"/>
      <c r="P64" s="26"/>
      <c r="Q64" s="26"/>
      <c r="R64" s="26"/>
      <c r="S64" s="38">
        <f t="shared" si="10"/>
        <v>34</v>
      </c>
      <c r="U64" s="74">
        <f t="shared" si="1"/>
        <v>34</v>
      </c>
    </row>
    <row r="65" spans="1:21" ht="25.5" customHeight="1" thickBot="1">
      <c r="A65" s="113"/>
      <c r="B65" s="75" t="s">
        <v>111</v>
      </c>
      <c r="C65" s="26">
        <v>2</v>
      </c>
      <c r="D65" s="26"/>
      <c r="E65" s="26"/>
      <c r="F65" s="26">
        <v>5</v>
      </c>
      <c r="G65" s="26">
        <v>9</v>
      </c>
      <c r="H65" s="26">
        <v>1</v>
      </c>
      <c r="I65" s="26"/>
      <c r="J65" s="26">
        <v>3</v>
      </c>
      <c r="K65" s="26"/>
      <c r="L65" s="26"/>
      <c r="M65" s="26">
        <v>4</v>
      </c>
      <c r="N65" s="26">
        <v>7</v>
      </c>
      <c r="O65" s="26"/>
      <c r="P65" s="26"/>
      <c r="Q65" s="26"/>
      <c r="R65" s="26"/>
      <c r="S65" s="38">
        <f t="shared" si="10"/>
        <v>31</v>
      </c>
      <c r="U65" s="74">
        <f t="shared" si="1"/>
        <v>31</v>
      </c>
    </row>
    <row r="66" spans="1:21" ht="25.5" customHeight="1" thickBot="1">
      <c r="A66" s="113"/>
      <c r="B66" s="76" t="s">
        <v>110</v>
      </c>
      <c r="C66" s="26">
        <v>5</v>
      </c>
      <c r="D66" s="26"/>
      <c r="E66" s="26"/>
      <c r="F66" s="26">
        <v>2</v>
      </c>
      <c r="G66" s="26">
        <v>9</v>
      </c>
      <c r="H66" s="26"/>
      <c r="I66" s="26"/>
      <c r="J66" s="26">
        <v>4</v>
      </c>
      <c r="K66" s="26"/>
      <c r="L66" s="26">
        <v>6</v>
      </c>
      <c r="M66" s="26">
        <v>3</v>
      </c>
      <c r="N66" s="26">
        <v>7</v>
      </c>
      <c r="O66" s="26"/>
      <c r="P66" s="26"/>
      <c r="Q66" s="26"/>
      <c r="R66" s="26"/>
      <c r="S66" s="38">
        <f t="shared" si="10"/>
        <v>36</v>
      </c>
      <c r="U66" s="74">
        <f t="shared" si="1"/>
        <v>36</v>
      </c>
    </row>
    <row r="67" spans="1:21" ht="25.5" customHeight="1" thickBot="1">
      <c r="A67" s="113"/>
      <c r="B67" s="28" t="s">
        <v>47</v>
      </c>
      <c r="C67" s="26"/>
      <c r="D67" s="26">
        <v>2</v>
      </c>
      <c r="E67" s="26">
        <v>6</v>
      </c>
      <c r="F67" s="26">
        <v>9</v>
      </c>
      <c r="G67" s="26">
        <v>7</v>
      </c>
      <c r="H67" s="26">
        <v>4</v>
      </c>
      <c r="I67" s="26"/>
      <c r="J67" s="26">
        <v>1</v>
      </c>
      <c r="K67" s="26"/>
      <c r="L67" s="26"/>
      <c r="M67" s="26">
        <v>5</v>
      </c>
      <c r="N67" s="26">
        <v>3</v>
      </c>
      <c r="O67" s="26"/>
      <c r="P67" s="26"/>
      <c r="Q67" s="26"/>
      <c r="R67" s="26"/>
      <c r="S67" s="38">
        <f t="shared" si="10"/>
        <v>37</v>
      </c>
      <c r="U67" s="74">
        <f t="shared" si="1"/>
        <v>37</v>
      </c>
    </row>
    <row r="68" spans="1:21" ht="25.5" customHeight="1" thickBot="1">
      <c r="A68" s="114"/>
      <c r="B68" s="45" t="s">
        <v>67</v>
      </c>
      <c r="C68" s="29">
        <v>2</v>
      </c>
      <c r="D68" s="29">
        <v>7</v>
      </c>
      <c r="E68" s="29">
        <v>6</v>
      </c>
      <c r="F68" s="29"/>
      <c r="G68" s="29">
        <v>9</v>
      </c>
      <c r="H68" s="29">
        <v>3</v>
      </c>
      <c r="I68" s="29"/>
      <c r="J68" s="29">
        <v>4</v>
      </c>
      <c r="K68" s="29"/>
      <c r="L68" s="29">
        <v>5</v>
      </c>
      <c r="M68" s="29"/>
      <c r="N68" s="29"/>
      <c r="O68" s="29"/>
      <c r="P68" s="29"/>
      <c r="Q68" s="29">
        <v>1</v>
      </c>
      <c r="R68" s="29"/>
      <c r="S68" s="38">
        <f t="shared" si="10"/>
        <v>37</v>
      </c>
      <c r="U68" s="74">
        <f t="shared" si="1"/>
        <v>37</v>
      </c>
    </row>
    <row r="69" spans="1:21" ht="25.5" customHeight="1" thickBot="1">
      <c r="A69" s="114"/>
      <c r="B69" s="28"/>
      <c r="C69" s="29"/>
      <c r="D69" s="29"/>
      <c r="E69" s="29"/>
      <c r="F69" s="29"/>
      <c r="G69" s="29"/>
      <c r="H69" s="29"/>
      <c r="I69" s="29"/>
      <c r="J69" s="29"/>
      <c r="K69" s="29"/>
      <c r="L69" s="29"/>
      <c r="M69" s="29"/>
      <c r="N69" s="29"/>
      <c r="O69" s="29"/>
      <c r="P69" s="29"/>
      <c r="Q69" s="29"/>
      <c r="R69" s="29"/>
      <c r="S69" s="38">
        <f t="shared" si="10"/>
        <v>0</v>
      </c>
      <c r="U69" s="74">
        <f t="shared" si="1"/>
        <v>0</v>
      </c>
    </row>
    <row r="70" spans="1:21" ht="25.5" customHeight="1" thickBot="1">
      <c r="A70" s="114"/>
      <c r="B70" s="28"/>
      <c r="C70" s="29"/>
      <c r="D70" s="29"/>
      <c r="E70" s="29"/>
      <c r="F70" s="29"/>
      <c r="G70" s="29"/>
      <c r="H70" s="29"/>
      <c r="I70" s="29"/>
      <c r="J70" s="29"/>
      <c r="K70" s="29"/>
      <c r="L70" s="29"/>
      <c r="M70" s="29"/>
      <c r="N70" s="29"/>
      <c r="O70" s="29"/>
      <c r="P70" s="29"/>
      <c r="Q70" s="29"/>
      <c r="R70" s="29"/>
      <c r="S70" s="38">
        <f t="shared" si="10"/>
        <v>0</v>
      </c>
      <c r="U70" s="74">
        <f t="shared" si="1"/>
        <v>0</v>
      </c>
    </row>
    <row r="71" spans="1:21" ht="25.5" customHeight="1" thickBot="1">
      <c r="A71" s="114"/>
      <c r="B71" s="28" t="s">
        <v>35</v>
      </c>
      <c r="C71" s="29">
        <f>C60</f>
        <v>4</v>
      </c>
      <c r="D71" s="29">
        <f aca="true" t="shared" si="11" ref="D71:R71">D60</f>
        <v>2</v>
      </c>
      <c r="E71" s="29">
        <f t="shared" si="11"/>
        <v>6</v>
      </c>
      <c r="F71" s="29">
        <f t="shared" si="11"/>
        <v>0</v>
      </c>
      <c r="G71" s="29">
        <f t="shared" si="11"/>
        <v>12</v>
      </c>
      <c r="H71" s="29">
        <f t="shared" si="11"/>
        <v>0</v>
      </c>
      <c r="I71" s="29">
        <f t="shared" si="11"/>
        <v>18</v>
      </c>
      <c r="J71" s="29">
        <f t="shared" si="11"/>
        <v>14</v>
      </c>
      <c r="K71" s="29">
        <f t="shared" si="11"/>
        <v>0</v>
      </c>
      <c r="L71" s="29">
        <f t="shared" si="11"/>
        <v>10</v>
      </c>
      <c r="M71" s="29">
        <f t="shared" si="11"/>
        <v>8</v>
      </c>
      <c r="N71" s="29">
        <f t="shared" si="11"/>
        <v>0</v>
      </c>
      <c r="O71" s="29">
        <f t="shared" si="11"/>
        <v>0</v>
      </c>
      <c r="P71" s="29">
        <f t="shared" si="11"/>
        <v>0</v>
      </c>
      <c r="Q71" s="29">
        <f t="shared" si="11"/>
        <v>0</v>
      </c>
      <c r="R71" s="29">
        <f t="shared" si="11"/>
        <v>0</v>
      </c>
      <c r="S71" s="38">
        <f t="shared" si="10"/>
        <v>74</v>
      </c>
      <c r="U71" s="74">
        <f>R71+Q71+P71+O71+N71+M71+L71+K71+J71+I71+H71+G71+F71+E71+D71+C71</f>
        <v>74</v>
      </c>
    </row>
    <row r="72" spans="1:21" ht="25.5" customHeight="1" thickBot="1">
      <c r="A72" s="115"/>
      <c r="B72" s="28" t="s">
        <v>48</v>
      </c>
      <c r="C72" s="29">
        <f>C43</f>
        <v>6</v>
      </c>
      <c r="D72" s="29">
        <f aca="true" t="shared" si="12" ref="D72:R72">D43</f>
        <v>9</v>
      </c>
      <c r="E72" s="29">
        <f t="shared" si="12"/>
        <v>21</v>
      </c>
      <c r="F72" s="29">
        <f t="shared" si="12"/>
        <v>3</v>
      </c>
      <c r="G72" s="29">
        <f t="shared" si="12"/>
        <v>15</v>
      </c>
      <c r="H72" s="29">
        <f t="shared" si="12"/>
        <v>0</v>
      </c>
      <c r="I72" s="29">
        <f t="shared" si="12"/>
        <v>18</v>
      </c>
      <c r="J72" s="29">
        <f t="shared" si="12"/>
        <v>0</v>
      </c>
      <c r="K72" s="29">
        <f t="shared" si="12"/>
        <v>0</v>
      </c>
      <c r="L72" s="29">
        <f t="shared" si="12"/>
        <v>12</v>
      </c>
      <c r="M72" s="29">
        <f t="shared" si="12"/>
        <v>27</v>
      </c>
      <c r="N72" s="29">
        <f t="shared" si="12"/>
        <v>0</v>
      </c>
      <c r="O72" s="29">
        <f t="shared" si="12"/>
        <v>0</v>
      </c>
      <c r="P72" s="29">
        <f t="shared" si="12"/>
        <v>0</v>
      </c>
      <c r="Q72" s="29">
        <f t="shared" si="12"/>
        <v>0</v>
      </c>
      <c r="R72" s="29">
        <f t="shared" si="12"/>
        <v>0</v>
      </c>
      <c r="S72" s="38">
        <f t="shared" si="10"/>
        <v>111</v>
      </c>
      <c r="U72" s="74">
        <f>R72+Q72+P72+O72+N72+M72+L72+K72+J72+I72+H72+G72+F72+E72+D72+C72</f>
        <v>111</v>
      </c>
    </row>
    <row r="73" spans="1:21" ht="47.25" customHeight="1" thickBot="1">
      <c r="A73" s="118" t="s">
        <v>49</v>
      </c>
      <c r="B73" s="119"/>
      <c r="C73" s="30">
        <f>C72+C71+C70+C69+C68+C67+C66+C65+C64+C63+C62+C61</f>
        <v>31</v>
      </c>
      <c r="D73" s="30">
        <f aca="true" t="shared" si="13" ref="D73:R73">D72+D71+D70+D69+D68+D67+D66+D65+D64+D63+D62+D61</f>
        <v>21</v>
      </c>
      <c r="E73" s="30">
        <f t="shared" si="13"/>
        <v>49</v>
      </c>
      <c r="F73" s="30">
        <f t="shared" si="13"/>
        <v>33</v>
      </c>
      <c r="G73" s="30">
        <f t="shared" si="13"/>
        <v>74</v>
      </c>
      <c r="H73" s="30">
        <f t="shared" si="13"/>
        <v>19</v>
      </c>
      <c r="I73" s="30">
        <f t="shared" si="13"/>
        <v>48</v>
      </c>
      <c r="J73" s="30">
        <f t="shared" si="13"/>
        <v>38</v>
      </c>
      <c r="K73" s="30">
        <f t="shared" si="13"/>
        <v>6</v>
      </c>
      <c r="L73" s="30">
        <f t="shared" si="13"/>
        <v>39</v>
      </c>
      <c r="M73" s="30">
        <f t="shared" si="13"/>
        <v>52</v>
      </c>
      <c r="N73" s="30">
        <f t="shared" si="13"/>
        <v>23</v>
      </c>
      <c r="O73" s="30">
        <f t="shared" si="13"/>
        <v>0</v>
      </c>
      <c r="P73" s="30">
        <f t="shared" si="13"/>
        <v>0</v>
      </c>
      <c r="Q73" s="30">
        <f t="shared" si="13"/>
        <v>1</v>
      </c>
      <c r="R73" s="30">
        <f t="shared" si="13"/>
        <v>0</v>
      </c>
      <c r="U73" s="74">
        <f>R73+Q73+P73+O73+N73+M73+L73+K73+J73+I73+H73+G73+F73+E73+D73+C73</f>
        <v>434</v>
      </c>
    </row>
    <row r="74" spans="1:18" ht="51" customHeight="1" thickBot="1">
      <c r="A74" s="120" t="s">
        <v>50</v>
      </c>
      <c r="B74" s="121"/>
      <c r="C74" s="31">
        <f aca="true" t="shared" si="14" ref="C74:R74">RANK(C73,$C$73:$R$73)</f>
        <v>8</v>
      </c>
      <c r="D74" s="31">
        <f t="shared" si="14"/>
        <v>10</v>
      </c>
      <c r="E74" s="31">
        <f t="shared" si="14"/>
        <v>3</v>
      </c>
      <c r="F74" s="31">
        <f t="shared" si="14"/>
        <v>7</v>
      </c>
      <c r="G74" s="31">
        <f t="shared" si="14"/>
        <v>1</v>
      </c>
      <c r="H74" s="31">
        <f t="shared" si="14"/>
        <v>11</v>
      </c>
      <c r="I74" s="31">
        <f t="shared" si="14"/>
        <v>4</v>
      </c>
      <c r="J74" s="31">
        <f t="shared" si="14"/>
        <v>6</v>
      </c>
      <c r="K74" s="31">
        <f t="shared" si="14"/>
        <v>12</v>
      </c>
      <c r="L74" s="31">
        <f t="shared" si="14"/>
        <v>5</v>
      </c>
      <c r="M74" s="31">
        <f t="shared" si="14"/>
        <v>2</v>
      </c>
      <c r="N74" s="31">
        <f t="shared" si="14"/>
        <v>9</v>
      </c>
      <c r="O74" s="31">
        <f t="shared" si="14"/>
        <v>14</v>
      </c>
      <c r="P74" s="31">
        <f t="shared" si="14"/>
        <v>14</v>
      </c>
      <c r="Q74" s="31">
        <f t="shared" si="14"/>
        <v>13</v>
      </c>
      <c r="R74" s="31">
        <f t="shared" si="14"/>
        <v>14</v>
      </c>
    </row>
    <row r="75" spans="1:21" s="2" customFormat="1" ht="44.25" customHeight="1" thickBot="1">
      <c r="A75" s="32"/>
      <c r="B75" s="33" t="s">
        <v>0</v>
      </c>
      <c r="C75" s="52" t="s">
        <v>71</v>
      </c>
      <c r="D75" s="52" t="s">
        <v>72</v>
      </c>
      <c r="E75" s="52" t="s">
        <v>73</v>
      </c>
      <c r="F75" s="52" t="s">
        <v>74</v>
      </c>
      <c r="G75" s="53" t="s">
        <v>106</v>
      </c>
      <c r="H75" s="52" t="s">
        <v>75</v>
      </c>
      <c r="I75" s="52" t="s">
        <v>76</v>
      </c>
      <c r="J75" s="52" t="s">
        <v>77</v>
      </c>
      <c r="K75" s="53" t="s">
        <v>8</v>
      </c>
      <c r="L75" s="52" t="s">
        <v>78</v>
      </c>
      <c r="M75" s="52" t="s">
        <v>79</v>
      </c>
      <c r="N75" s="53" t="s">
        <v>112</v>
      </c>
      <c r="O75" s="52" t="s">
        <v>80</v>
      </c>
      <c r="P75" s="52" t="s">
        <v>81</v>
      </c>
      <c r="Q75" s="73" t="s">
        <v>109</v>
      </c>
      <c r="R75" s="52" t="s">
        <v>82</v>
      </c>
      <c r="S75" s="38"/>
      <c r="U75" s="74"/>
    </row>
    <row r="76" spans="1:18" ht="70.5" customHeight="1">
      <c r="A76" s="34"/>
      <c r="B76" s="35"/>
      <c r="C76" s="106" t="s">
        <v>66</v>
      </c>
      <c r="D76" s="107"/>
      <c r="E76" s="107"/>
      <c r="F76" s="107"/>
      <c r="G76" s="107"/>
      <c r="H76" s="107"/>
      <c r="I76" s="107"/>
      <c r="J76" s="107"/>
      <c r="K76" s="107"/>
      <c r="L76" s="107"/>
      <c r="M76" s="107"/>
      <c r="N76" s="107"/>
      <c r="O76" s="107"/>
      <c r="P76" s="107"/>
      <c r="Q76" s="107"/>
      <c r="R76" s="107"/>
    </row>
  </sheetData>
  <sheetProtection/>
  <mergeCells count="34">
    <mergeCell ref="B1:R2"/>
    <mergeCell ref="O3:O5"/>
    <mergeCell ref="P3:P5"/>
    <mergeCell ref="Q3:Q5"/>
    <mergeCell ref="R3:R5"/>
    <mergeCell ref="K3:K5"/>
    <mergeCell ref="L3:L5"/>
    <mergeCell ref="M3:M5"/>
    <mergeCell ref="N3:N5"/>
    <mergeCell ref="G3:G5"/>
    <mergeCell ref="H3:H5"/>
    <mergeCell ref="I3:I5"/>
    <mergeCell ref="J3:J5"/>
    <mergeCell ref="C3:C5"/>
    <mergeCell ref="D3:D5"/>
    <mergeCell ref="E3:E5"/>
    <mergeCell ref="F3:F5"/>
    <mergeCell ref="C76:R76"/>
    <mergeCell ref="A6:A20"/>
    <mergeCell ref="A23:A37"/>
    <mergeCell ref="A44:A54"/>
    <mergeCell ref="A61:A72"/>
    <mergeCell ref="A59:B59"/>
    <mergeCell ref="A60:B60"/>
    <mergeCell ref="A73:B73"/>
    <mergeCell ref="A74:B74"/>
    <mergeCell ref="A41:B41"/>
    <mergeCell ref="A42:B42"/>
    <mergeCell ref="A43:B43"/>
    <mergeCell ref="A58:B58"/>
    <mergeCell ref="A21:B21"/>
    <mergeCell ref="A22:B22"/>
    <mergeCell ref="A38:B38"/>
    <mergeCell ref="A39:B39"/>
  </mergeCells>
  <printOptions/>
  <pageMargins left="0.55" right="0.35" top="0.39" bottom="0.39" header="0.51" footer="0.51"/>
  <pageSetup horizontalDpi="600" verticalDpi="600" orientation="landscape" paperSize="9" scale="62" r:id="rId1"/>
  <rowBreaks count="3" manualBreakCount="3">
    <brk id="22" max="17" man="1"/>
    <brk id="43" max="17" man="1"/>
    <brk id="60" max="17" man="1"/>
  </rowBreaks>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C97"/>
  <sheetViews>
    <sheetView zoomScale="85" zoomScaleNormal="85" zoomScaleSheetLayoutView="70" zoomScalePageLayoutView="0" workbookViewId="0" topLeftCell="A40">
      <selection activeCell="H87" sqref="H87"/>
    </sheetView>
  </sheetViews>
  <sheetFormatPr defaultColWidth="9.00390625" defaultRowHeight="14.25"/>
  <cols>
    <col min="1" max="1" width="39.875" style="0" customWidth="1"/>
    <col min="2" max="2" width="30.625" style="0" customWidth="1"/>
  </cols>
  <sheetData>
    <row r="1" ht="8.25" customHeight="1"/>
    <row r="2" spans="1:3" ht="41.25" customHeight="1">
      <c r="A2" s="57" t="s">
        <v>60</v>
      </c>
      <c r="B2" s="56"/>
      <c r="C2" s="43"/>
    </row>
    <row r="3" spans="1:3" ht="22.5">
      <c r="A3" s="78" t="s">
        <v>114</v>
      </c>
      <c r="B3" s="42"/>
      <c r="C3" s="43"/>
    </row>
    <row r="4" spans="1:3" ht="22.5">
      <c r="A4" s="78" t="s">
        <v>113</v>
      </c>
      <c r="B4" s="42"/>
      <c r="C4" s="43"/>
    </row>
    <row r="5" spans="1:3" ht="22.5">
      <c r="A5" s="54" t="s">
        <v>61</v>
      </c>
      <c r="B5" s="42"/>
      <c r="C5" s="42"/>
    </row>
    <row r="6" spans="1:3" ht="19.5" customHeight="1">
      <c r="A6" s="54"/>
      <c r="B6" s="42"/>
      <c r="C6" s="42"/>
    </row>
    <row r="7" spans="1:2" s="64" customFormat="1" ht="19.5" customHeight="1">
      <c r="A7" s="63" t="s">
        <v>62</v>
      </c>
      <c r="B7" s="63"/>
    </row>
    <row r="8" spans="1:2" s="62" customFormat="1" ht="19.5" customHeight="1">
      <c r="A8" s="61" t="s">
        <v>87</v>
      </c>
      <c r="B8" s="77" t="s">
        <v>112</v>
      </c>
    </row>
    <row r="9" spans="1:2" s="62" customFormat="1" ht="19.5" customHeight="1">
      <c r="A9" s="61" t="s">
        <v>88</v>
      </c>
      <c r="B9" s="77" t="s">
        <v>74</v>
      </c>
    </row>
    <row r="10" spans="1:2" s="62" customFormat="1" ht="19.5" customHeight="1">
      <c r="A10" s="61" t="s">
        <v>89</v>
      </c>
      <c r="B10" s="77" t="s">
        <v>106</v>
      </c>
    </row>
    <row r="11" spans="1:2" ht="19.5" customHeight="1">
      <c r="A11" s="2"/>
      <c r="B11" s="55"/>
    </row>
    <row r="12" spans="1:2" s="64" customFormat="1" ht="19.5" customHeight="1">
      <c r="A12" s="63" t="s">
        <v>84</v>
      </c>
      <c r="B12" s="66"/>
    </row>
    <row r="13" spans="1:2" s="62" customFormat="1" ht="19.5" customHeight="1">
      <c r="A13" s="61" t="s">
        <v>87</v>
      </c>
      <c r="B13" s="77" t="s">
        <v>73</v>
      </c>
    </row>
    <row r="14" spans="1:2" s="62" customFormat="1" ht="19.5" customHeight="1">
      <c r="A14" s="61" t="s">
        <v>88</v>
      </c>
      <c r="B14" s="77" t="s">
        <v>106</v>
      </c>
    </row>
    <row r="15" spans="1:2" s="62" customFormat="1" ht="19.5" customHeight="1">
      <c r="A15" s="61" t="s">
        <v>89</v>
      </c>
      <c r="B15" s="77" t="s">
        <v>74</v>
      </c>
    </row>
    <row r="16" spans="1:2" ht="19.5" customHeight="1">
      <c r="A16" s="2"/>
      <c r="B16" s="58"/>
    </row>
    <row r="17" spans="1:2" s="64" customFormat="1" ht="19.5" customHeight="1">
      <c r="A17" s="79" t="s">
        <v>115</v>
      </c>
      <c r="B17" s="66"/>
    </row>
    <row r="18" spans="1:2" s="62" customFormat="1" ht="19.5" customHeight="1">
      <c r="A18" s="61" t="s">
        <v>87</v>
      </c>
      <c r="B18" s="88" t="s">
        <v>73</v>
      </c>
    </row>
    <row r="19" spans="1:2" s="62" customFormat="1" ht="19.5" customHeight="1">
      <c r="A19" s="61" t="s">
        <v>88</v>
      </c>
      <c r="B19" s="88" t="s">
        <v>72</v>
      </c>
    </row>
    <row r="20" spans="1:2" s="62" customFormat="1" ht="19.5" customHeight="1">
      <c r="A20" s="61" t="s">
        <v>89</v>
      </c>
      <c r="B20" s="88" t="s">
        <v>106</v>
      </c>
    </row>
    <row r="21" spans="1:2" ht="19.5" customHeight="1">
      <c r="A21" s="59"/>
      <c r="B21" s="58"/>
    </row>
    <row r="22" spans="1:2" s="64" customFormat="1" ht="19.5" customHeight="1">
      <c r="A22" s="79" t="s">
        <v>116</v>
      </c>
      <c r="B22" s="66"/>
    </row>
    <row r="23" spans="1:2" s="62" customFormat="1" ht="19.5" customHeight="1">
      <c r="A23" s="61" t="s">
        <v>87</v>
      </c>
      <c r="B23" s="80" t="s">
        <v>78</v>
      </c>
    </row>
    <row r="24" spans="1:2" s="62" customFormat="1" ht="19.5" customHeight="1">
      <c r="A24" s="61" t="s">
        <v>88</v>
      </c>
      <c r="B24" s="80" t="s">
        <v>112</v>
      </c>
    </row>
    <row r="25" spans="1:2" s="62" customFormat="1" ht="19.5" customHeight="1">
      <c r="A25" s="61" t="s">
        <v>89</v>
      </c>
      <c r="B25" s="80" t="s">
        <v>106</v>
      </c>
    </row>
    <row r="26" spans="1:2" ht="19.5" customHeight="1">
      <c r="A26" s="2"/>
      <c r="B26" s="58"/>
    </row>
    <row r="27" spans="1:2" s="64" customFormat="1" ht="19.5" customHeight="1">
      <c r="A27" s="79" t="s">
        <v>117</v>
      </c>
      <c r="B27" s="66"/>
    </row>
    <row r="28" spans="1:2" s="62" customFormat="1" ht="19.5" customHeight="1">
      <c r="A28" s="61" t="s">
        <v>87</v>
      </c>
      <c r="B28" s="77" t="s">
        <v>77</v>
      </c>
    </row>
    <row r="29" spans="1:2" s="62" customFormat="1" ht="19.5" customHeight="1">
      <c r="A29" s="61" t="s">
        <v>88</v>
      </c>
      <c r="B29" s="77" t="s">
        <v>74</v>
      </c>
    </row>
    <row r="30" spans="1:2" s="62" customFormat="1" ht="19.5" customHeight="1">
      <c r="A30" s="61" t="s">
        <v>89</v>
      </c>
      <c r="B30" s="77" t="s">
        <v>71</v>
      </c>
    </row>
    <row r="31" spans="1:2" s="62" customFormat="1" ht="19.5" customHeight="1">
      <c r="A31" s="61"/>
      <c r="B31" s="77"/>
    </row>
    <row r="32" spans="1:2" s="62" customFormat="1" ht="19.5" customHeight="1">
      <c r="A32" s="79" t="s">
        <v>118</v>
      </c>
      <c r="B32" s="66"/>
    </row>
    <row r="33" spans="1:2" s="62" customFormat="1" ht="19.5" customHeight="1">
      <c r="A33" s="61" t="s">
        <v>87</v>
      </c>
      <c r="B33" s="77" t="s">
        <v>77</v>
      </c>
    </row>
    <row r="34" spans="1:2" s="62" customFormat="1" ht="19.5" customHeight="1">
      <c r="A34" s="61" t="s">
        <v>88</v>
      </c>
      <c r="B34" s="77" t="s">
        <v>76</v>
      </c>
    </row>
    <row r="35" spans="1:2" ht="19.5" customHeight="1">
      <c r="A35" s="61" t="s">
        <v>89</v>
      </c>
      <c r="B35" s="77" t="s">
        <v>75</v>
      </c>
    </row>
    <row r="36" spans="1:2" ht="19.5" customHeight="1">
      <c r="A36" s="2"/>
      <c r="B36" s="58"/>
    </row>
    <row r="37" spans="1:2" ht="19.5" customHeight="1">
      <c r="A37" s="71" t="s">
        <v>103</v>
      </c>
      <c r="B37" s="34"/>
    </row>
    <row r="38" spans="1:2" ht="19.5" customHeight="1">
      <c r="A38" s="67"/>
      <c r="B38" s="34"/>
    </row>
    <row r="39" spans="1:2" s="62" customFormat="1" ht="19.5" customHeight="1">
      <c r="A39" s="61" t="s">
        <v>85</v>
      </c>
      <c r="B39" s="61"/>
    </row>
    <row r="40" spans="1:2" s="62" customFormat="1" ht="21.75" customHeight="1">
      <c r="A40" s="61" t="s">
        <v>87</v>
      </c>
      <c r="B40" s="65" t="str">
        <f>_xlfn.IFERROR(HLOOKUP(3,'总表'!$D$39:$R$75,37,0),"")</f>
        <v>化材学院</v>
      </c>
    </row>
    <row r="41" spans="1:2" s="62" customFormat="1" ht="21.75" customHeight="1">
      <c r="A41" s="61" t="s">
        <v>88</v>
      </c>
      <c r="B41" s="65" t="str">
        <f>_xlfn.IFERROR(HLOOKUP(2,'总表'!$D$39:$R$75,37,0),"")</f>
        <v>水环学院</v>
      </c>
    </row>
    <row r="42" spans="1:2" s="62" customFormat="1" ht="21.75" customHeight="1">
      <c r="A42" s="61" t="s">
        <v>89</v>
      </c>
      <c r="B42" s="65" t="str">
        <f>_xlfn.IFERROR(HLOOKUP(1,'总表'!$D$39:$R$75,37,0),"")</f>
        <v>经管学院</v>
      </c>
    </row>
    <row r="43" spans="1:2" ht="19.5" customHeight="1">
      <c r="A43" s="2"/>
      <c r="B43" s="55"/>
    </row>
    <row r="44" spans="1:2" s="62" customFormat="1" ht="19.5" customHeight="1">
      <c r="A44" s="61" t="s">
        <v>86</v>
      </c>
      <c r="B44" s="65"/>
    </row>
    <row r="45" spans="1:2" s="62" customFormat="1" ht="19.5" customHeight="1">
      <c r="A45" s="61" t="s">
        <v>87</v>
      </c>
      <c r="B45" s="88" t="str">
        <f>_xlfn.IFERROR(HLOOKUP(3,'总表'!$C$22:$R$75,54,0),"")</f>
        <v>地科学院</v>
      </c>
    </row>
    <row r="46" spans="1:2" s="62" customFormat="1" ht="19.5" customHeight="1">
      <c r="A46" s="61" t="s">
        <v>88</v>
      </c>
      <c r="B46" s="65" t="str">
        <f>_xlfn.IFERROR(HLOOKUP(2,'总表'!$D$22:$R$75,54,0),"")</f>
        <v>地控学院</v>
      </c>
    </row>
    <row r="47" spans="1:2" s="62" customFormat="1" ht="19.5" customHeight="1">
      <c r="A47" s="61" t="s">
        <v>89</v>
      </c>
      <c r="B47" s="65" t="str">
        <f>_xlfn.IFERROR(HLOOKUP(1,'总表'!$D$22:$R$75,54,0),"")</f>
        <v>机电学院</v>
      </c>
    </row>
    <row r="48" spans="1:2" ht="21" customHeight="1" hidden="1">
      <c r="A48" s="2"/>
      <c r="B48" s="2"/>
    </row>
    <row r="49" spans="1:2" ht="21" customHeight="1" hidden="1">
      <c r="A49" s="2" t="s">
        <v>83</v>
      </c>
      <c r="B49" s="2"/>
    </row>
    <row r="50" spans="1:2" ht="21" customHeight="1" hidden="1">
      <c r="A50" s="2" t="s">
        <v>83</v>
      </c>
      <c r="B50" s="2"/>
    </row>
    <row r="51" spans="1:2" ht="21" customHeight="1" hidden="1">
      <c r="A51" s="2" t="s">
        <v>83</v>
      </c>
      <c r="B51" s="2"/>
    </row>
    <row r="52" spans="1:2" ht="21" customHeight="1" hidden="1">
      <c r="A52" s="2" t="s">
        <v>83</v>
      </c>
      <c r="B52" s="2"/>
    </row>
    <row r="53" spans="1:2" ht="21" customHeight="1" hidden="1">
      <c r="A53" s="2" t="s">
        <v>83</v>
      </c>
      <c r="B53" s="2"/>
    </row>
    <row r="54" spans="1:2" ht="21" customHeight="1" hidden="1">
      <c r="A54" s="2" t="s">
        <v>83</v>
      </c>
      <c r="B54" s="2"/>
    </row>
    <row r="55" spans="1:2" ht="21" customHeight="1" hidden="1">
      <c r="A55" s="2" t="s">
        <v>83</v>
      </c>
      <c r="B55" s="2"/>
    </row>
    <row r="56" spans="1:2" ht="21" customHeight="1" hidden="1">
      <c r="A56" s="2" t="s">
        <v>83</v>
      </c>
      <c r="B56" s="2"/>
    </row>
    <row r="57" spans="1:2" ht="21" customHeight="1" hidden="1">
      <c r="A57" s="2" t="s">
        <v>83</v>
      </c>
      <c r="B57" s="2"/>
    </row>
    <row r="58" spans="1:2" ht="21" customHeight="1" hidden="1">
      <c r="A58" s="2" t="s">
        <v>83</v>
      </c>
      <c r="B58" s="2"/>
    </row>
    <row r="59" spans="1:2" ht="21" customHeight="1" hidden="1">
      <c r="A59" s="2" t="s">
        <v>83</v>
      </c>
      <c r="B59" s="2"/>
    </row>
    <row r="60" spans="1:2" ht="21" customHeight="1" hidden="1">
      <c r="A60" s="2"/>
      <c r="B60" s="2"/>
    </row>
    <row r="61" spans="1:2" ht="19.5" customHeight="1">
      <c r="A61" s="2"/>
      <c r="B61" s="2"/>
    </row>
    <row r="62" spans="1:2" s="62" customFormat="1" ht="19.5" customHeight="1">
      <c r="A62" s="61" t="s">
        <v>101</v>
      </c>
      <c r="B62" s="65"/>
    </row>
    <row r="63" spans="1:2" s="62" customFormat="1" ht="19.5" customHeight="1">
      <c r="A63" s="61" t="s">
        <v>87</v>
      </c>
      <c r="B63" s="65" t="str">
        <f>_xlfn.IFERROR(HLOOKUP(3,'总表'!$C$59:$R$75,17,0),"")</f>
        <v>化材学院</v>
      </c>
    </row>
    <row r="64" spans="1:2" s="62" customFormat="1" ht="19.5" customHeight="1">
      <c r="A64" s="61" t="s">
        <v>88</v>
      </c>
      <c r="B64" s="65" t="str">
        <f>_xlfn.IFERROR(HLOOKUP(2,'总表'!$C$59:$R$75,17,0),"")</f>
        <v>信工学院</v>
      </c>
    </row>
    <row r="65" spans="1:2" s="62" customFormat="1" ht="19.5" customHeight="1">
      <c r="A65" s="61" t="s">
        <v>89</v>
      </c>
      <c r="B65" s="65" t="str">
        <f>_xlfn.IFERROR(HLOOKUP(1,'总表'!$C$59:$R$75,17,0),"")</f>
        <v>机电学院</v>
      </c>
    </row>
    <row r="66" spans="1:2" ht="19.5" customHeight="1">
      <c r="A66" s="2"/>
      <c r="B66" s="2"/>
    </row>
    <row r="67" spans="1:2" s="62" customFormat="1" ht="19.5" customHeight="1">
      <c r="A67" s="61" t="s">
        <v>102</v>
      </c>
      <c r="B67" s="61"/>
    </row>
    <row r="68" spans="1:2" s="62" customFormat="1" ht="19.5" customHeight="1">
      <c r="A68" s="61" t="s">
        <v>90</v>
      </c>
      <c r="B68" s="65" t="str">
        <f>_xlfn.IFERROR(HLOOKUP(8,'总表'!$C$42:$R$75,34,0),"")</f>
        <v>测绘学院</v>
      </c>
    </row>
    <row r="69" spans="1:2" s="62" customFormat="1" ht="19.5" customHeight="1">
      <c r="A69" s="61" t="s">
        <v>91</v>
      </c>
      <c r="B69" s="65" t="str">
        <f>_xlfn.IFERROR(HLOOKUP(7,'总表'!$C$42:$R$75,34,0),"")</f>
        <v>地科学院</v>
      </c>
    </row>
    <row r="70" spans="1:2" s="62" customFormat="1" ht="19.5" customHeight="1">
      <c r="A70" s="61" t="s">
        <v>92</v>
      </c>
      <c r="B70" s="65" t="str">
        <f>_xlfn.IFERROR(HLOOKUP(6,'总表'!$C$42:$R$75,34,0),"")</f>
        <v>地控学院</v>
      </c>
    </row>
    <row r="71" spans="1:2" s="62" customFormat="1" ht="19.5" customHeight="1">
      <c r="A71" s="61" t="s">
        <v>93</v>
      </c>
      <c r="B71" s="65" t="str">
        <f>_xlfn.IFERROR(HLOOKUP(5,'总表'!$C$42:$R$75,34,0),"")</f>
        <v>土建学院</v>
      </c>
    </row>
    <row r="72" spans="1:2" s="62" customFormat="1" ht="19.5" customHeight="1">
      <c r="A72" s="61" t="s">
        <v>94</v>
      </c>
      <c r="B72" s="65" t="str">
        <f>_xlfn.IFERROR(HLOOKUP(4,'总表'!$C$42:$R$75,34,0),"")</f>
        <v>化材学院</v>
      </c>
    </row>
    <row r="73" spans="1:2" s="62" customFormat="1" ht="19.5" customHeight="1">
      <c r="A73" s="61" t="s">
        <v>87</v>
      </c>
      <c r="B73" s="65" t="str">
        <f>_xlfn.IFERROR(HLOOKUP(3,'总表'!$C$42:$R$75,34,0),"")</f>
        <v>机电学院</v>
      </c>
    </row>
    <row r="74" spans="1:2" s="62" customFormat="1" ht="19.5" customHeight="1">
      <c r="A74" s="61" t="s">
        <v>88</v>
      </c>
      <c r="B74" s="65" t="str">
        <f>_xlfn.IFERROR(HLOOKUP(2,'总表'!$C$42:$R$75,34,0),"")</f>
        <v>水环学院</v>
      </c>
    </row>
    <row r="75" spans="1:2" s="62" customFormat="1" ht="19.5" customHeight="1">
      <c r="A75" s="61" t="s">
        <v>89</v>
      </c>
      <c r="B75" s="65" t="str">
        <f>_xlfn.IFERROR(HLOOKUP(1,'总表'!$C$42:$R$75,34,0),"")</f>
        <v>经管学院</v>
      </c>
    </row>
    <row r="76" spans="1:2" ht="19.5" customHeight="1">
      <c r="A76" s="2"/>
      <c r="B76" s="55"/>
    </row>
    <row r="77" spans="1:2" ht="19.5" customHeight="1">
      <c r="A77" s="2"/>
      <c r="B77" s="55"/>
    </row>
    <row r="78" spans="1:2" ht="39.75" customHeight="1">
      <c r="A78" s="130" t="s">
        <v>104</v>
      </c>
      <c r="B78" s="131"/>
    </row>
    <row r="79" spans="1:2" ht="39.75" customHeight="1">
      <c r="A79" s="131"/>
      <c r="B79" s="131"/>
    </row>
    <row r="80" spans="1:2" s="62" customFormat="1" ht="19.5" customHeight="1">
      <c r="A80" s="68"/>
      <c r="B80" s="69">
        <f>_xlfn.IFERROR(HLOOKUP(15,'总表'!$C$74:$R$75,2,0),"")</f>
      </c>
    </row>
    <row r="81" spans="1:2" s="62" customFormat="1" ht="22.5" customHeight="1">
      <c r="A81" s="89" t="s">
        <v>120</v>
      </c>
      <c r="B81" s="89" t="s">
        <v>130</v>
      </c>
    </row>
    <row r="82" spans="1:2" s="62" customFormat="1" ht="22.5" customHeight="1">
      <c r="A82" s="68" t="s">
        <v>95</v>
      </c>
      <c r="B82" s="69" t="str">
        <f>_xlfn.IFERROR(HLOOKUP(13,'总表'!$C$74:$R$75,2,0),"")</f>
        <v>美术与艺术学院</v>
      </c>
    </row>
    <row r="83" spans="1:2" s="62" customFormat="1" ht="22.5" customHeight="1">
      <c r="A83" s="68" t="s">
        <v>96</v>
      </c>
      <c r="B83" s="69" t="str">
        <f>_xlfn.IFERROR(HLOOKUP(12,'总表'!$C$74:$R$75,2,0),"")</f>
        <v>理学院</v>
      </c>
    </row>
    <row r="84" spans="1:2" s="62" customFormat="1" ht="22.5" customHeight="1">
      <c r="A84" s="68" t="s">
        <v>97</v>
      </c>
      <c r="B84" s="69" t="str">
        <f>_xlfn.IFERROR(HLOOKUP(11,'总表'!$C$74:$R$75,2,0),"")</f>
        <v>核工学院</v>
      </c>
    </row>
    <row r="85" spans="1:2" s="62" customFormat="1" ht="22.5" customHeight="1">
      <c r="A85" s="68" t="s">
        <v>98</v>
      </c>
      <c r="B85" s="69" t="str">
        <f>_xlfn.IFERROR(HLOOKUP(10,'总表'!$C$74:$R$75,2,0),"")</f>
        <v>地控学院</v>
      </c>
    </row>
    <row r="86" spans="1:2" s="62" customFormat="1" ht="22.5" customHeight="1">
      <c r="A86" s="68" t="s">
        <v>99</v>
      </c>
      <c r="B86" s="69" t="str">
        <f>_xlfn.IFERROR(HLOOKUP(9,'总表'!$C$74:$R$75,2,0),"")</f>
        <v>文法艺学院</v>
      </c>
    </row>
    <row r="87" spans="1:2" s="62" customFormat="1" ht="22.5" customHeight="1">
      <c r="A87" s="68" t="s">
        <v>90</v>
      </c>
      <c r="B87" s="69" t="str">
        <f>_xlfn.IFERROR(HLOOKUP(8,'总表'!$C$74:$R$75,2,0),"")</f>
        <v>地科学院</v>
      </c>
    </row>
    <row r="88" spans="1:2" s="62" customFormat="1" ht="22.5" customHeight="1">
      <c r="A88" s="68" t="s">
        <v>91</v>
      </c>
      <c r="B88" s="69" t="str">
        <f>_xlfn.IFERROR(HLOOKUP(7,'总表'!$C$74:$R$75,2,0),"")</f>
        <v>测绘学院</v>
      </c>
    </row>
    <row r="89" spans="1:2" s="62" customFormat="1" ht="22.5" customHeight="1">
      <c r="A89" s="68" t="s">
        <v>92</v>
      </c>
      <c r="B89" s="69" t="str">
        <f>_xlfn.IFERROR(HLOOKUP(6,'总表'!$C$74:$R$75,2,0),"")</f>
        <v>信工学院</v>
      </c>
    </row>
    <row r="90" spans="1:2" s="62" customFormat="1" ht="22.5" customHeight="1">
      <c r="A90" s="68" t="s">
        <v>93</v>
      </c>
      <c r="B90" s="69" t="str">
        <f>_xlfn.IFERROR(HLOOKUP(5,'总表'!$C$74:$R$75,2,0),"")</f>
        <v>土建学院</v>
      </c>
    </row>
    <row r="91" spans="1:2" s="62" customFormat="1" ht="22.5" customHeight="1">
      <c r="A91" s="68" t="s">
        <v>94</v>
      </c>
      <c r="B91" s="69" t="str">
        <f>_xlfn.IFERROR(HLOOKUP(4,'总表'!$C$74:$R$75,2,0),"")</f>
        <v>机电学院</v>
      </c>
    </row>
    <row r="92" spans="1:2" s="62" customFormat="1" ht="22.5" customHeight="1">
      <c r="A92" s="68" t="s">
        <v>87</v>
      </c>
      <c r="B92" s="69" t="str">
        <f>_xlfn.IFERROR(HLOOKUP(3,'总表'!$C$74:$R$75,2,0),"")</f>
        <v>水环学院</v>
      </c>
    </row>
    <row r="93" spans="1:2" s="62" customFormat="1" ht="22.5" customHeight="1">
      <c r="A93" s="68" t="s">
        <v>88</v>
      </c>
      <c r="B93" s="69" t="str">
        <f>_xlfn.IFERROR(HLOOKUP(2,'总表'!$C$74:$R$75,2,0),"")</f>
        <v>经管学院</v>
      </c>
    </row>
    <row r="94" spans="1:2" ht="19.5" customHeight="1">
      <c r="A94" s="2"/>
      <c r="B94" s="2"/>
    </row>
    <row r="95" spans="1:2" ht="33" customHeight="1">
      <c r="A95" s="91" t="s">
        <v>121</v>
      </c>
      <c r="B95" s="70" t="str">
        <f>_xlfn.IFERROR(HLOOKUP(1,'总表'!$C$74:$R$75,2,0),"")</f>
        <v>化材学院</v>
      </c>
    </row>
    <row r="96" spans="1:2" ht="19.5" customHeight="1">
      <c r="A96" s="2"/>
      <c r="B96" s="2"/>
    </row>
    <row r="97" spans="1:2" s="62" customFormat="1" ht="19.5" customHeight="1">
      <c r="A97" s="61" t="s">
        <v>63</v>
      </c>
      <c r="B97" s="61"/>
    </row>
    <row r="98" ht="19.5" customHeight="1"/>
  </sheetData>
  <sheetProtection/>
  <mergeCells count="1">
    <mergeCell ref="A78:B79"/>
  </mergeCells>
  <printOptions/>
  <pageMargins left="0.9448818897637796" right="0.9448818897637796" top="0.7874015748031497" bottom="0.7874015748031497" header="0" footer="0"/>
  <pageSetup horizontalDpi="600" verticalDpi="600" orientation="portrait" paperSize="9" scale="96" r:id="rId1"/>
  <rowBreaks count="2" manualBreakCount="2">
    <brk id="36" max="2" man="1"/>
    <brk id="77" max="2" man="1"/>
  </rowBreaks>
</worksheet>
</file>

<file path=xl/worksheets/sheet3.xml><?xml version="1.0" encoding="utf-8"?>
<worksheet xmlns="http://schemas.openxmlformats.org/spreadsheetml/2006/main" xmlns:r="http://schemas.openxmlformats.org/officeDocument/2006/relationships">
  <dimension ref="A1:B56"/>
  <sheetViews>
    <sheetView zoomScale="70" zoomScaleNormal="70" zoomScaleSheetLayoutView="100" zoomScalePageLayoutView="0" workbookViewId="0" topLeftCell="A1">
      <selection activeCell="O37" sqref="O37"/>
    </sheetView>
  </sheetViews>
  <sheetFormatPr defaultColWidth="9.00390625" defaultRowHeight="14.25"/>
  <cols>
    <col min="1" max="1" width="36.875" style="0" customWidth="1"/>
    <col min="2" max="2" width="14.00390625" style="55" customWidth="1"/>
  </cols>
  <sheetData>
    <row r="1" ht="19.5" customHeight="1">
      <c r="A1" s="71" t="s">
        <v>103</v>
      </c>
    </row>
    <row r="2" ht="19.5" customHeight="1">
      <c r="A2" s="67"/>
    </row>
    <row r="3" spans="1:2" s="62" customFormat="1" ht="19.5" customHeight="1">
      <c r="A3" s="61" t="s">
        <v>85</v>
      </c>
      <c r="B3" s="65"/>
    </row>
    <row r="4" spans="1:2" s="62" customFormat="1" ht="19.5" customHeight="1">
      <c r="A4" s="90" t="s">
        <v>126</v>
      </c>
      <c r="B4" s="65" t="str">
        <f>_xlfn.IFERROR(HLOOKUP(8,'总表'!$C$39:$R$75,37,0),"")</f>
        <v>地控学院</v>
      </c>
    </row>
    <row r="5" spans="1:2" s="62" customFormat="1" ht="19.5" customHeight="1">
      <c r="A5" s="90" t="s">
        <v>125</v>
      </c>
      <c r="B5" s="65" t="str">
        <f>_xlfn.IFERROR(HLOOKUP(7,'总表'!$C$39:$R$75,37,0),"")</f>
        <v>测绘学院</v>
      </c>
    </row>
    <row r="6" spans="1:2" s="62" customFormat="1" ht="19.5" customHeight="1">
      <c r="A6" s="90" t="s">
        <v>124</v>
      </c>
      <c r="B6" s="65" t="str">
        <f>_xlfn.IFERROR(HLOOKUP(6,'总表'!$C$39:$R$75,37,0),"")</f>
        <v>机电学院</v>
      </c>
    </row>
    <row r="7" spans="1:2" s="62" customFormat="1" ht="19.5" customHeight="1">
      <c r="A7" s="90" t="s">
        <v>123</v>
      </c>
      <c r="B7" s="65" t="str">
        <f>_xlfn.IFERROR(HLOOKUP(5,'总表'!$C$39:$R$75,37,0),"")</f>
        <v>地科学院</v>
      </c>
    </row>
    <row r="8" spans="1:2" s="62" customFormat="1" ht="19.5" customHeight="1">
      <c r="A8" s="90" t="s">
        <v>122</v>
      </c>
      <c r="B8" s="65" t="str">
        <f>_xlfn.IFERROR(HLOOKUP(4,'总表'!$C$39:$R$75,37,0),"")</f>
        <v>土建学院</v>
      </c>
    </row>
    <row r="9" spans="1:2" s="62" customFormat="1" ht="19.5" customHeight="1">
      <c r="A9" s="90" t="s">
        <v>127</v>
      </c>
      <c r="B9" s="65" t="str">
        <f>_xlfn.IFERROR(HLOOKUP(3,'总表'!$C$39:$R$75,37,0),"")</f>
        <v>化材学院</v>
      </c>
    </row>
    <row r="10" spans="1:2" s="62" customFormat="1" ht="19.5" customHeight="1">
      <c r="A10" s="90" t="s">
        <v>128</v>
      </c>
      <c r="B10" s="65" t="str">
        <f>_xlfn.IFERROR(HLOOKUP(2,'总表'!$C$39:$R$75,37,0),"")</f>
        <v>水环学院</v>
      </c>
    </row>
    <row r="11" spans="1:2" s="62" customFormat="1" ht="19.5" customHeight="1">
      <c r="A11" s="90" t="s">
        <v>129</v>
      </c>
      <c r="B11" s="65" t="str">
        <f>_xlfn.IFERROR(HLOOKUP(1,'总表'!$C$39:$R$75,37,0),"")</f>
        <v>经管学院</v>
      </c>
    </row>
    <row r="12" ht="19.5" customHeight="1">
      <c r="A12" s="2"/>
    </row>
    <row r="13" spans="1:2" s="62" customFormat="1" ht="19.5" customHeight="1">
      <c r="A13" s="61" t="s">
        <v>86</v>
      </c>
      <c r="B13" s="65"/>
    </row>
    <row r="14" spans="1:2" s="62" customFormat="1" ht="19.5" customHeight="1">
      <c r="A14" s="90" t="s">
        <v>126</v>
      </c>
      <c r="B14" s="65" t="str">
        <f>_xlfn.IFERROR(HLOOKUP(8,'总表'!$C$22:$R$75,54,0),"")</f>
        <v>国教学院</v>
      </c>
    </row>
    <row r="15" spans="1:2" s="62" customFormat="1" ht="19.5" customHeight="1">
      <c r="A15" s="90" t="s">
        <v>125</v>
      </c>
      <c r="B15" s="65" t="str">
        <f>_xlfn.IFERROR(HLOOKUP(7,'总表'!$C$22:$R$75,54,0),"")</f>
        <v>经管学院</v>
      </c>
    </row>
    <row r="16" spans="1:2" s="62" customFormat="1" ht="19.5" customHeight="1">
      <c r="A16" s="90" t="s">
        <v>124</v>
      </c>
      <c r="B16" s="65" t="str">
        <f>_xlfn.IFERROR(HLOOKUP(6,'总表'!$C$22:$R$75,54,0),"")</f>
        <v>化材学院</v>
      </c>
    </row>
    <row r="17" spans="1:2" s="62" customFormat="1" ht="19.5" customHeight="1">
      <c r="A17" s="90" t="s">
        <v>123</v>
      </c>
      <c r="B17" s="65" t="str">
        <f>_xlfn.IFERROR(HLOOKUP(5,'总表'!$C$22:$R$75,54,0),"")</f>
        <v>水环学院</v>
      </c>
    </row>
    <row r="18" spans="1:2" s="62" customFormat="1" ht="19.5" customHeight="1">
      <c r="A18" s="90" t="s">
        <v>122</v>
      </c>
      <c r="B18" s="65" t="str">
        <f>_xlfn.IFERROR(HLOOKUP(4,'总表'!$C$22:$R$75,54,0),"")</f>
        <v>土建学院</v>
      </c>
    </row>
    <row r="19" spans="1:2" s="62" customFormat="1" ht="19.5" customHeight="1">
      <c r="A19" s="90" t="s">
        <v>127</v>
      </c>
      <c r="B19" s="65" t="str">
        <f>_xlfn.IFERROR(HLOOKUP(3,'总表'!$C$22:$R$75,54,0),"")</f>
        <v>地科学院</v>
      </c>
    </row>
    <row r="20" spans="1:2" s="62" customFormat="1" ht="19.5" customHeight="1">
      <c r="A20" s="90" t="s">
        <v>128</v>
      </c>
      <c r="B20" s="65" t="str">
        <f>_xlfn.IFERROR(HLOOKUP(2,'总表'!$C$22:$R$75,54,0),"")</f>
        <v>地控学院</v>
      </c>
    </row>
    <row r="21" spans="1:2" s="62" customFormat="1" ht="19.5" customHeight="1">
      <c r="A21" s="90" t="s">
        <v>129</v>
      </c>
      <c r="B21" s="65" t="str">
        <f>_xlfn.IFERROR(HLOOKUP(1,'总表'!$C$22:$R$75,54,0),"")</f>
        <v>机电学院</v>
      </c>
    </row>
    <row r="22" spans="1:2" ht="19.5" customHeight="1" hidden="1">
      <c r="A22" s="2"/>
      <c r="B22" s="65" t="str">
        <f>_xlfn.IFERROR(HLOOKUP(8,'总表'!$C$22:$R$75,54,0),"")</f>
        <v>国教学院</v>
      </c>
    </row>
    <row r="23" spans="1:2" ht="19.5" customHeight="1" hidden="1">
      <c r="A23" s="2" t="s">
        <v>83</v>
      </c>
      <c r="B23" s="65" t="str">
        <f>_xlfn.IFERROR(HLOOKUP(8,'总表'!$C$22:$R$75,54,0),"")</f>
        <v>国教学院</v>
      </c>
    </row>
    <row r="24" spans="1:2" ht="19.5" customHeight="1" hidden="1">
      <c r="A24" s="2" t="s">
        <v>83</v>
      </c>
      <c r="B24" s="65" t="str">
        <f>_xlfn.IFERROR(HLOOKUP(8,'总表'!$C$22:$R$75,54,0),"")</f>
        <v>国教学院</v>
      </c>
    </row>
    <row r="25" spans="1:2" ht="19.5" customHeight="1" hidden="1">
      <c r="A25" s="2" t="s">
        <v>83</v>
      </c>
      <c r="B25" s="65" t="str">
        <f>_xlfn.IFERROR(HLOOKUP(8,'总表'!$C$22:$R$75,54,0),"")</f>
        <v>国教学院</v>
      </c>
    </row>
    <row r="26" spans="1:2" ht="19.5" customHeight="1" hidden="1">
      <c r="A26" s="2" t="s">
        <v>83</v>
      </c>
      <c r="B26" s="65" t="str">
        <f>_xlfn.IFERROR(HLOOKUP(8,'总表'!$C$22:$R$75,54,0),"")</f>
        <v>国教学院</v>
      </c>
    </row>
    <row r="27" spans="1:2" ht="19.5" customHeight="1" hidden="1">
      <c r="A27" s="2" t="s">
        <v>83</v>
      </c>
      <c r="B27" s="65" t="str">
        <f>_xlfn.IFERROR(HLOOKUP(8,'总表'!$C$22:$R$75,54,0),"")</f>
        <v>国教学院</v>
      </c>
    </row>
    <row r="28" spans="1:2" ht="19.5" customHeight="1" hidden="1">
      <c r="A28" s="2" t="s">
        <v>83</v>
      </c>
      <c r="B28" s="65" t="str">
        <f>_xlfn.IFERROR(HLOOKUP(8,'总表'!$C$22:$R$75,54,0),"")</f>
        <v>国教学院</v>
      </c>
    </row>
    <row r="29" spans="1:2" ht="19.5" customHeight="1" hidden="1">
      <c r="A29" s="2" t="s">
        <v>83</v>
      </c>
      <c r="B29" s="65" t="str">
        <f>_xlfn.IFERROR(HLOOKUP(8,'总表'!$C$22:$R$75,54,0),"")</f>
        <v>国教学院</v>
      </c>
    </row>
    <row r="30" spans="1:2" ht="19.5" customHeight="1" hidden="1">
      <c r="A30" s="2" t="s">
        <v>83</v>
      </c>
      <c r="B30" s="65" t="str">
        <f>_xlfn.IFERROR(HLOOKUP(8,'总表'!$C$22:$R$75,54,0),"")</f>
        <v>国教学院</v>
      </c>
    </row>
    <row r="31" spans="1:2" ht="19.5" customHeight="1" hidden="1">
      <c r="A31" s="2" t="s">
        <v>83</v>
      </c>
      <c r="B31" s="65" t="str">
        <f>_xlfn.IFERROR(HLOOKUP(8,'总表'!$C$22:$R$75,54,0),"")</f>
        <v>国教学院</v>
      </c>
    </row>
    <row r="32" spans="1:2" ht="19.5" customHeight="1" hidden="1">
      <c r="A32" s="2" t="s">
        <v>83</v>
      </c>
      <c r="B32" s="65" t="str">
        <f>_xlfn.IFERROR(HLOOKUP(8,'总表'!$C$22:$R$75,54,0),"")</f>
        <v>国教学院</v>
      </c>
    </row>
    <row r="33" spans="1:2" ht="19.5" customHeight="1" hidden="1">
      <c r="A33" s="2" t="s">
        <v>83</v>
      </c>
      <c r="B33" s="65" t="str">
        <f>_xlfn.IFERROR(HLOOKUP(8,'总表'!$C$22:$R$75,54,0),"")</f>
        <v>国教学院</v>
      </c>
    </row>
    <row r="34" spans="1:2" ht="19.5" customHeight="1" hidden="1">
      <c r="A34" s="2"/>
      <c r="B34" s="65" t="str">
        <f>_xlfn.IFERROR(HLOOKUP(8,'总表'!$C$22:$R$75,54,0),"")</f>
        <v>国教学院</v>
      </c>
    </row>
    <row r="35" ht="19.5" customHeight="1">
      <c r="A35" s="2"/>
    </row>
    <row r="36" spans="1:2" s="62" customFormat="1" ht="19.5" customHeight="1">
      <c r="A36" s="61" t="s">
        <v>101</v>
      </c>
      <c r="B36" s="65"/>
    </row>
    <row r="37" spans="1:2" s="62" customFormat="1" ht="19.5" customHeight="1">
      <c r="A37" s="90" t="s">
        <v>126</v>
      </c>
      <c r="B37" s="65" t="str">
        <f>_xlfn.IFERROR(HLOOKUP(8,'总表'!$C$59:$R$75,17,0),"")</f>
        <v>地控学院</v>
      </c>
    </row>
    <row r="38" spans="1:2" s="62" customFormat="1" ht="19.5" customHeight="1">
      <c r="A38" s="90" t="s">
        <v>125</v>
      </c>
      <c r="B38" s="65" t="str">
        <f>_xlfn.IFERROR(HLOOKUP(7,'总表'!$C$59:$R$75,17,0),"")</f>
        <v>地科学院</v>
      </c>
    </row>
    <row r="39" spans="1:2" s="62" customFormat="1" ht="19.5" customHeight="1">
      <c r="A39" s="90" t="s">
        <v>124</v>
      </c>
      <c r="B39" s="65" t="str">
        <f>_xlfn.IFERROR(HLOOKUP(6,'总表'!$C$59:$R$75,17,0),"")</f>
        <v>水环学院</v>
      </c>
    </row>
    <row r="40" spans="1:2" s="62" customFormat="1" ht="19.5" customHeight="1">
      <c r="A40" s="90" t="s">
        <v>123</v>
      </c>
      <c r="B40" s="65" t="str">
        <f>_xlfn.IFERROR(HLOOKUP(5,'总表'!$C$59:$R$75,17,0),"")</f>
        <v>经管学院</v>
      </c>
    </row>
    <row r="41" spans="1:2" s="62" customFormat="1" ht="19.5" customHeight="1">
      <c r="A41" s="90" t="s">
        <v>122</v>
      </c>
      <c r="B41" s="65" t="str">
        <f>_xlfn.IFERROR(HLOOKUP(4,'总表'!$C$59:$R$75,17,0),"")</f>
        <v>土建学院</v>
      </c>
    </row>
    <row r="42" spans="1:2" s="62" customFormat="1" ht="19.5" customHeight="1">
      <c r="A42" s="90" t="s">
        <v>127</v>
      </c>
      <c r="B42" s="65" t="str">
        <f>_xlfn.IFERROR(HLOOKUP(3,'总表'!$C$59:$R$75,17,0),"")</f>
        <v>化材学院</v>
      </c>
    </row>
    <row r="43" spans="1:2" s="62" customFormat="1" ht="19.5" customHeight="1">
      <c r="A43" s="90" t="s">
        <v>128</v>
      </c>
      <c r="B43" s="65" t="str">
        <f>_xlfn.IFERROR(HLOOKUP(2,'总表'!$C$59:$R$75,17,0),"")</f>
        <v>信工学院</v>
      </c>
    </row>
    <row r="44" spans="1:2" s="62" customFormat="1" ht="19.5" customHeight="1">
      <c r="A44" s="90" t="s">
        <v>129</v>
      </c>
      <c r="B44" s="65" t="str">
        <f>_xlfn.IFERROR(HLOOKUP(1,'总表'!$C$59:$R$75,17,0),"")</f>
        <v>机电学院</v>
      </c>
    </row>
    <row r="45" ht="19.5" customHeight="1">
      <c r="A45" s="2"/>
    </row>
    <row r="46" spans="1:2" s="62" customFormat="1" ht="19.5" customHeight="1">
      <c r="A46" s="61" t="s">
        <v>102</v>
      </c>
      <c r="B46" s="65"/>
    </row>
    <row r="47" spans="1:2" s="62" customFormat="1" ht="19.5" customHeight="1">
      <c r="A47" s="61" t="s">
        <v>90</v>
      </c>
      <c r="B47" s="65" t="str">
        <f>_xlfn.IFERROR(HLOOKUP(8,'总表'!$C$42:$R$75,34,0),"")</f>
        <v>测绘学院</v>
      </c>
    </row>
    <row r="48" spans="1:2" s="62" customFormat="1" ht="19.5" customHeight="1">
      <c r="A48" s="61" t="s">
        <v>91</v>
      </c>
      <c r="B48" s="65" t="str">
        <f>_xlfn.IFERROR(HLOOKUP(7,'总表'!$C$42:$R$75,34,0),"")</f>
        <v>地科学院</v>
      </c>
    </row>
    <row r="49" spans="1:2" s="62" customFormat="1" ht="19.5" customHeight="1">
      <c r="A49" s="61" t="s">
        <v>92</v>
      </c>
      <c r="B49" s="65" t="str">
        <f>_xlfn.IFERROR(HLOOKUP(6,'总表'!$C$42:$R$75,34,0),"")</f>
        <v>地控学院</v>
      </c>
    </row>
    <row r="50" spans="1:2" s="62" customFormat="1" ht="19.5" customHeight="1">
      <c r="A50" s="61" t="s">
        <v>93</v>
      </c>
      <c r="B50" s="65" t="str">
        <f>_xlfn.IFERROR(HLOOKUP(5,'总表'!$C$42:$R$75,34,0),"")</f>
        <v>土建学院</v>
      </c>
    </row>
    <row r="51" spans="1:2" s="62" customFormat="1" ht="19.5" customHeight="1">
      <c r="A51" s="61" t="s">
        <v>94</v>
      </c>
      <c r="B51" s="65" t="str">
        <f>_xlfn.IFERROR(HLOOKUP(4,'总表'!$C$42:$R$75,34,0),"")</f>
        <v>化材学院</v>
      </c>
    </row>
    <row r="52" spans="1:2" s="62" customFormat="1" ht="19.5" customHeight="1">
      <c r="A52" s="61" t="s">
        <v>87</v>
      </c>
      <c r="B52" s="65" t="str">
        <f>_xlfn.IFERROR(HLOOKUP(3,'总表'!$C$42:$R$75,34,0),"")</f>
        <v>机电学院</v>
      </c>
    </row>
    <row r="53" spans="1:2" s="62" customFormat="1" ht="19.5" customHeight="1">
      <c r="A53" s="61" t="s">
        <v>88</v>
      </c>
      <c r="B53" s="65" t="str">
        <f>_xlfn.IFERROR(HLOOKUP(2,'总表'!$C$42:$R$75,34,0),"")</f>
        <v>水环学院</v>
      </c>
    </row>
    <row r="54" spans="1:2" s="62" customFormat="1" ht="19.5" customHeight="1">
      <c r="A54" s="61" t="s">
        <v>89</v>
      </c>
      <c r="B54" s="65" t="str">
        <f>_xlfn.IFERROR(HLOOKUP(1,'总表'!$C$42:$R$75,34,0),"")</f>
        <v>经管学院</v>
      </c>
    </row>
    <row r="55" ht="19.5" customHeight="1">
      <c r="A55" s="2"/>
    </row>
    <row r="56" ht="19.5" customHeight="1">
      <c r="A56" s="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江西抚州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 抚州</dc:creator>
  <cp:keywords/>
  <dc:description/>
  <cp:lastModifiedBy>w</cp:lastModifiedBy>
  <cp:lastPrinted>2023-10-27T06:22:00Z</cp:lastPrinted>
  <dcterms:created xsi:type="dcterms:W3CDTF">2013-11-08T05:52:27Z</dcterms:created>
  <dcterms:modified xsi:type="dcterms:W3CDTF">2023-10-27T09:08:43Z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y fmtid="{D5CDD505-2E9C-101B-9397-08002B2CF9AE}" pid="3" name="KSORubyTemplateID">
    <vt:lpwstr>11</vt:lpwstr>
  </property>
</Properties>
</file>